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740"/>
  </bookViews>
  <sheets>
    <sheet name="план-факт 2013" sheetId="3" r:id="rId1"/>
    <sheet name="отчет 2013" sheetId="2" r:id="rId2"/>
    <sheet name="на 2014" sheetId="1" r:id="rId3"/>
  </sheets>
  <externalReferences>
    <externalReference r:id="rId4"/>
    <externalReference r:id="rId5"/>
    <externalReference r:id="rId6"/>
    <externalReference r:id="rId7"/>
    <externalReference r:id="rId8"/>
  </externalReferences>
  <calcPr calcId="145621" refMode="R1C1"/>
</workbook>
</file>

<file path=xl/calcChain.xml><?xml version="1.0" encoding="utf-8"?>
<calcChain xmlns="http://schemas.openxmlformats.org/spreadsheetml/2006/main">
  <c r="H37" i="3" l="1"/>
  <c r="J37" i="3" s="1"/>
  <c r="F37" i="3"/>
  <c r="C36" i="3"/>
  <c r="F36" i="3" s="1"/>
  <c r="H35" i="3"/>
  <c r="J35" i="3" s="1"/>
  <c r="C35" i="3"/>
  <c r="F35" i="3" s="1"/>
  <c r="F34" i="3"/>
  <c r="C34" i="3"/>
  <c r="J34" i="3" s="1"/>
  <c r="C33" i="3"/>
  <c r="F33" i="3" s="1"/>
  <c r="F32" i="3"/>
  <c r="C32" i="3"/>
  <c r="J32" i="3" s="1"/>
  <c r="C31" i="3"/>
  <c r="F31" i="3" s="1"/>
  <c r="J30" i="3"/>
  <c r="F30" i="3"/>
  <c r="J29" i="3"/>
  <c r="H27" i="3"/>
  <c r="J27" i="3" s="1"/>
  <c r="C27" i="3"/>
  <c r="F27" i="3" s="1"/>
  <c r="H26" i="3"/>
  <c r="J26" i="3" s="1"/>
  <c r="C26" i="3"/>
  <c r="F26" i="3" s="1"/>
  <c r="H25" i="3"/>
  <c r="J25" i="3" s="1"/>
  <c r="C25" i="3"/>
  <c r="F25" i="3" s="1"/>
  <c r="J24" i="3"/>
  <c r="H23" i="3"/>
  <c r="I23" i="3" s="1"/>
  <c r="C23" i="3"/>
  <c r="F23" i="3" s="1"/>
  <c r="J22" i="3"/>
  <c r="F22" i="3"/>
  <c r="J21" i="3"/>
  <c r="F21" i="3"/>
  <c r="J20" i="3"/>
  <c r="F20" i="3"/>
  <c r="J19" i="3"/>
  <c r="C18" i="3"/>
  <c r="F18" i="3" s="1"/>
  <c r="J17" i="3"/>
  <c r="F17" i="3"/>
  <c r="H16" i="3"/>
  <c r="J16" i="3" s="1"/>
  <c r="F16" i="3"/>
  <c r="J15" i="3"/>
  <c r="F15" i="3"/>
  <c r="J14" i="3"/>
  <c r="J12" i="3"/>
  <c r="F12" i="3"/>
  <c r="C11" i="3"/>
  <c r="C13" i="3" s="1"/>
  <c r="J10" i="3"/>
  <c r="F10" i="3"/>
  <c r="J9" i="3"/>
  <c r="F9" i="3"/>
  <c r="J8" i="3"/>
  <c r="I8" i="3"/>
  <c r="F8" i="3"/>
  <c r="J7" i="3"/>
  <c r="F7" i="3"/>
  <c r="J6" i="3"/>
  <c r="H6" i="3"/>
  <c r="H13" i="3" s="1"/>
  <c r="F6" i="3"/>
  <c r="I26" i="2"/>
  <c r="I25" i="2"/>
  <c r="E19" i="2"/>
  <c r="D19" i="2"/>
  <c r="I19" i="2" s="1"/>
  <c r="G18" i="2"/>
  <c r="E18" i="2"/>
  <c r="D18" i="2"/>
  <c r="I18" i="2" s="1"/>
  <c r="C18" i="2"/>
  <c r="G17" i="2"/>
  <c r="E17" i="2"/>
  <c r="I17" i="2" s="1"/>
  <c r="C17" i="2"/>
  <c r="G16" i="2"/>
  <c r="E16" i="2"/>
  <c r="I16" i="2" s="1"/>
  <c r="C16" i="2"/>
  <c r="G15" i="2"/>
  <c r="E15" i="2"/>
  <c r="I15" i="2" s="1"/>
  <c r="C15" i="2"/>
  <c r="G14" i="2"/>
  <c r="E14" i="2"/>
  <c r="I14" i="2" s="1"/>
  <c r="C14" i="2"/>
  <c r="G13" i="2"/>
  <c r="E13" i="2"/>
  <c r="D13" i="2"/>
  <c r="C13" i="2" s="1"/>
  <c r="H12" i="2"/>
  <c r="G12" i="2"/>
  <c r="F12" i="2"/>
  <c r="E12" i="2"/>
  <c r="I12" i="2" s="1"/>
  <c r="C12" i="2"/>
  <c r="G11" i="2"/>
  <c r="E11" i="2"/>
  <c r="I11" i="2" s="1"/>
  <c r="C11" i="2"/>
  <c r="G10" i="2"/>
  <c r="E10" i="2"/>
  <c r="I10" i="2" s="1"/>
  <c r="C10" i="2"/>
  <c r="G9" i="2"/>
  <c r="E9" i="2"/>
  <c r="I9" i="2" s="1"/>
  <c r="C9" i="2"/>
  <c r="H8" i="2"/>
  <c r="H20" i="2" s="1"/>
  <c r="G8" i="2"/>
  <c r="F8" i="2"/>
  <c r="E8" i="2"/>
  <c r="C8" i="2"/>
  <c r="G7" i="2"/>
  <c r="G20" i="2" s="1"/>
  <c r="E7" i="2"/>
  <c r="E20" i="2" s="1"/>
  <c r="D7" i="2"/>
  <c r="D20" i="2" s="1"/>
  <c r="I3" i="2"/>
  <c r="I2" i="2"/>
  <c r="I1" i="2"/>
  <c r="C39" i="1"/>
  <c r="F38" i="1"/>
  <c r="C37" i="1"/>
  <c r="F37" i="1" s="1"/>
  <c r="C36" i="1"/>
  <c r="F36" i="1" s="1"/>
  <c r="C35" i="1"/>
  <c r="F35" i="1" s="1"/>
  <c r="C34" i="1"/>
  <c r="F34" i="1" s="1"/>
  <c r="C33" i="1"/>
  <c r="F33" i="1" s="1"/>
  <c r="C32" i="1"/>
  <c r="F32" i="1" s="1"/>
  <c r="F30" i="1"/>
  <c r="C27" i="1"/>
  <c r="F27" i="1" s="1"/>
  <c r="C26" i="1"/>
  <c r="F26" i="1" s="1"/>
  <c r="C25" i="1"/>
  <c r="C22" i="1"/>
  <c r="C21" i="1"/>
  <c r="C23" i="1" s="1"/>
  <c r="F23" i="1" s="1"/>
  <c r="F20" i="1"/>
  <c r="C18" i="1"/>
  <c r="F18" i="1" s="1"/>
  <c r="F17" i="1"/>
  <c r="F16" i="1"/>
  <c r="F15" i="1"/>
  <c r="F12" i="1"/>
  <c r="C11" i="1"/>
  <c r="C13" i="1" s="1"/>
  <c r="F10" i="1"/>
  <c r="F9" i="1"/>
  <c r="F8" i="1"/>
  <c r="F7" i="1"/>
  <c r="C28" i="1" l="1"/>
  <c r="F25" i="1"/>
  <c r="C40" i="1"/>
  <c r="C41" i="1" s="1"/>
  <c r="C7" i="2"/>
  <c r="J7" i="2"/>
  <c r="I8" i="2"/>
  <c r="I13" i="2"/>
  <c r="C19" i="2"/>
  <c r="J13" i="3"/>
  <c r="I13" i="3"/>
  <c r="F13" i="3"/>
  <c r="J11" i="3"/>
  <c r="H18" i="3"/>
  <c r="J23" i="3"/>
  <c r="C28" i="3"/>
  <c r="F28" i="3" s="1"/>
  <c r="H28" i="3"/>
  <c r="J31" i="3"/>
  <c r="J33" i="3"/>
  <c r="J36" i="3"/>
  <c r="C38" i="3"/>
  <c r="F38" i="3" s="1"/>
  <c r="H38" i="3"/>
  <c r="F11" i="3"/>
  <c r="I21" i="2"/>
  <c r="F20" i="2"/>
  <c r="I22" i="2" s="1"/>
  <c r="I7" i="2"/>
  <c r="I20" i="2" s="1"/>
  <c r="I24" i="2" s="1"/>
  <c r="I28" i="2" s="1"/>
  <c r="F13" i="1"/>
  <c r="F28" i="1"/>
  <c r="F11" i="1"/>
  <c r="F21" i="1"/>
  <c r="F40" i="1" l="1"/>
  <c r="I23" i="2"/>
  <c r="I29" i="2" s="1"/>
  <c r="C20" i="2"/>
  <c r="I28" i="3"/>
  <c r="J28" i="3"/>
  <c r="C39" i="3"/>
  <c r="F39" i="3" s="1"/>
  <c r="I38" i="3"/>
  <c r="J38" i="3"/>
  <c r="I18" i="3"/>
  <c r="J18" i="3"/>
  <c r="H39" i="3"/>
  <c r="J12" i="2"/>
  <c r="F41" i="1"/>
  <c r="D41" i="1"/>
  <c r="J39" i="3" l="1"/>
  <c r="I39" i="3"/>
</calcChain>
</file>

<file path=xl/comments1.xml><?xml version="1.0" encoding="utf-8"?>
<comments xmlns="http://schemas.openxmlformats.org/spreadsheetml/2006/main">
  <authors>
    <author>User</author>
  </authors>
  <commentList>
    <comment ref="I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фактический перерасход по статьям подготовки к зиме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I1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в январе должно быть 101гКал а КРЦ подали 111
</t>
        </r>
      </text>
    </comment>
    <comment ref="D19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1354,32гп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кв8,28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кв8</t>
        </r>
      </text>
    </comment>
  </commentList>
</comments>
</file>

<file path=xl/sharedStrings.xml><?xml version="1.0" encoding="utf-8"?>
<sst xmlns="http://schemas.openxmlformats.org/spreadsheetml/2006/main" count="215" uniqueCount="114">
  <si>
    <t xml:space="preserve">Расчет </t>
  </si>
  <si>
    <t>предложений по обслуживанию мжд №16 по ул.Фрунзе</t>
  </si>
  <si>
    <t xml:space="preserve">на 2014год </t>
  </si>
  <si>
    <t>№ п/п</t>
  </si>
  <si>
    <t>Вид работ</t>
  </si>
  <si>
    <t>Ориент.стоимость в год, рублей</t>
  </si>
  <si>
    <t>Вид обслуживания</t>
  </si>
  <si>
    <t>расчет на 1 кв.м в месяц</t>
  </si>
  <si>
    <t>Сантехнические работы</t>
  </si>
  <si>
    <t>Запуск отопления (ревизия,опрессовка,испытание) СО  при необходимости замена. ремонт)</t>
  </si>
  <si>
    <t>то</t>
  </si>
  <si>
    <t>Ревизия арматуры ХВС в тех.подвале (при необходимости замена)</t>
  </si>
  <si>
    <t>Смена вентилей ХВС, ГВС в квартирах по заявкам</t>
  </si>
  <si>
    <t xml:space="preserve">Ревизия,опрессовка,испытание ГВС  </t>
  </si>
  <si>
    <t>Монтаж термо регулятора на СО</t>
  </si>
  <si>
    <t>тр</t>
  </si>
  <si>
    <t>Монтаж прибора учета обратн трубопровода ГВС с проектом</t>
  </si>
  <si>
    <t>Итого по разделу</t>
  </si>
  <si>
    <t>Электротехнические работы</t>
  </si>
  <si>
    <t>Монтаж  электроснабжения кабельканалов</t>
  </si>
  <si>
    <t>Замена лампочек</t>
  </si>
  <si>
    <t>Ревизия электрооборудования 1 раз</t>
  </si>
  <si>
    <t>Общестроительные работы</t>
  </si>
  <si>
    <t>Ремонт кровли над ливн. Канал.(доп. Объём)</t>
  </si>
  <si>
    <t>Проверка вентканалов и ремонт</t>
  </si>
  <si>
    <t>ремонт потолка в кв,51 после затопления</t>
  </si>
  <si>
    <t>Благоустройство  и санитарное содержание</t>
  </si>
  <si>
    <t>Уборка придомовой территории</t>
  </si>
  <si>
    <t>Работы по благоустройству</t>
  </si>
  <si>
    <t>Эксплуатация мусоропровода</t>
  </si>
  <si>
    <t>Прочие работы, услуги</t>
  </si>
  <si>
    <t>Проверка лифтового оборудования</t>
  </si>
  <si>
    <t>Поверка прибора учета на ГВС</t>
  </si>
  <si>
    <t>Оплата управляющей компании</t>
  </si>
  <si>
    <t>Оплата председателю совета дома</t>
  </si>
  <si>
    <t>Оплата заместителю председателя совета дома</t>
  </si>
  <si>
    <t xml:space="preserve">АДС </t>
  </si>
  <si>
    <t>услуги по изготовлению платежных счетов</t>
  </si>
  <si>
    <t>услуги по ведению паспортного учёта</t>
  </si>
  <si>
    <t>Аварийные (непредвиденные работы)</t>
  </si>
  <si>
    <t>доначисление (возврат) средств по выпол работ 2013 года</t>
  </si>
  <si>
    <t>Всего расходов</t>
  </si>
  <si>
    <t>Отчет</t>
  </si>
  <si>
    <t>Сальдо на 01.01.2013 по оплате</t>
  </si>
  <si>
    <t>финансового состояния</t>
  </si>
  <si>
    <t>Сальдо на 01.01.2013 по оплате АНО КРЦ</t>
  </si>
  <si>
    <t>дома №16 по ул. Фрунзе</t>
  </si>
  <si>
    <t>Сальдо на 01.01.2013 по поставщикам</t>
  </si>
  <si>
    <t>за 2013 год</t>
  </si>
  <si>
    <t>услуга</t>
  </si>
  <si>
    <t>№ строки</t>
  </si>
  <si>
    <t>Выставлено поставщиками услуг актов на сумму</t>
  </si>
  <si>
    <t>Принято услуг от  поставщиков  на сумму</t>
  </si>
  <si>
    <t>Начислено по платежкам с разбивкой по услугам</t>
  </si>
  <si>
    <t>Начислено по платежкам  АНО КРЦ</t>
  </si>
  <si>
    <t>оплачено населением</t>
  </si>
  <si>
    <t>оплачено населением АНО КРЦ</t>
  </si>
  <si>
    <t>сальдо предъявлено-начислено</t>
  </si>
  <si>
    <t xml:space="preserve">% оплаты </t>
  </si>
  <si>
    <t>Содержание ОИМД</t>
  </si>
  <si>
    <t xml:space="preserve">Гор.вода </t>
  </si>
  <si>
    <t>Водоотведение</t>
  </si>
  <si>
    <t>Водоснабжение</t>
  </si>
  <si>
    <t>Вывоз мусора</t>
  </si>
  <si>
    <t>Отопление</t>
  </si>
  <si>
    <t>ТО домофона</t>
  </si>
  <si>
    <t>лифт</t>
  </si>
  <si>
    <t>Антенна</t>
  </si>
  <si>
    <t xml:space="preserve">электроэнергия </t>
  </si>
  <si>
    <t>комис. Сбор</t>
  </si>
  <si>
    <t>Пени</t>
  </si>
  <si>
    <t>Судебные расходы</t>
  </si>
  <si>
    <t>Всего</t>
  </si>
  <si>
    <t>Задолженность  жителей по оплате (гр.6-гр.8) за 2013год</t>
  </si>
  <si>
    <t>Задолженность  жителей по оплате за 2013год за ГВС и отопление(АНО КРЦ)</t>
  </si>
  <si>
    <t>Задолженность  жителей по оплате на 01.01.2014год  с учетом пред. периода</t>
  </si>
  <si>
    <t>Задолженность жителей по предоставленным услугам на 01.01.2014год с учётом пред.периода</t>
  </si>
  <si>
    <t>Дополнительный доход от договора с ОАО "Ростелеком"</t>
  </si>
  <si>
    <t>Дополнительный доход от договора с ОАО "Магнум"</t>
  </si>
  <si>
    <t>Дополнительный доход от договора с ИП "Трахнова"</t>
  </si>
  <si>
    <t>Задолженность жителей по предоставленным услугам на 01.01.2014год с учётом дохода</t>
  </si>
  <si>
    <t>Задолженность  жителей по оплате (гр.6-гр.8) за 2013год с учётом дохода и пред. периода</t>
  </si>
  <si>
    <t>Генеральный директор ООО "УК"Перспектива"</t>
  </si>
  <si>
    <t>Тягина Л.В.</t>
  </si>
  <si>
    <t>февраль</t>
  </si>
  <si>
    <t>март</t>
  </si>
  <si>
    <t>декабрь</t>
  </si>
  <si>
    <t xml:space="preserve">на 2013год </t>
  </si>
  <si>
    <t>Ориент.стоимость, рублей</t>
  </si>
  <si>
    <t>срок исполнения</t>
  </si>
  <si>
    <t>факт выполнения</t>
  </si>
  <si>
    <t>стоимсть работ по факту</t>
  </si>
  <si>
    <t>стоимость  на 1 кв.м в месяц</t>
  </si>
  <si>
    <t>итог</t>
  </si>
  <si>
    <t>июль-сентябрь</t>
  </si>
  <si>
    <t>выпол</t>
  </si>
  <si>
    <t>Консервация СО</t>
  </si>
  <si>
    <t>май-июнь</t>
  </si>
  <si>
    <t>март (ноябрь)</t>
  </si>
  <si>
    <t>по необходимости</t>
  </si>
  <si>
    <t xml:space="preserve">март </t>
  </si>
  <si>
    <t>Осмотры техподвала (договор с Каринцевым)</t>
  </si>
  <si>
    <t>раз в месяц</t>
  </si>
  <si>
    <t>Ремонт КС в подвале с выпуском</t>
  </si>
  <si>
    <t>апрель-июль</t>
  </si>
  <si>
    <t>Ремонт кровли над ливн. Канал.</t>
  </si>
  <si>
    <t>май-сентябрь</t>
  </si>
  <si>
    <t>выпол (работ не прин)</t>
  </si>
  <si>
    <t xml:space="preserve">Ремонт потолка в кв.51 после затопления </t>
  </si>
  <si>
    <t>выпол 2014</t>
  </si>
  <si>
    <t>Проверка вентканалов</t>
  </si>
  <si>
    <t>постоянно</t>
  </si>
  <si>
    <t>Уборка снега с крыши</t>
  </si>
  <si>
    <t>январь, фераль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</si>
</sst>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  <numFmt numFmtId="166" formatCode="0.0%"/>
    <numFmt numFmtId="167" formatCode="#,##0.00_ ;\-#,##0.00\ "/>
  </numFmts>
  <fonts count="2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4"/>
      <color indexed="63"/>
      <name val="Arial"/>
      <family val="2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b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4"/>
      <color rgb="FFFF0000"/>
      <name val="Arial Cyr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2" applyFont="1" applyAlignment="1">
      <alignment horizontal="right"/>
    </xf>
    <xf numFmtId="0" fontId="1" fillId="0" borderId="0" xfId="2"/>
    <xf numFmtId="0" fontId="2" fillId="0" borderId="0" xfId="2" applyFont="1" applyAlignment="1">
      <alignment horizontal="left"/>
    </xf>
    <xf numFmtId="0" fontId="1" fillId="0" borderId="0" xfId="2" applyFont="1" applyFill="1" applyBorder="1"/>
    <xf numFmtId="0" fontId="0" fillId="0" borderId="1" xfId="0" applyBorder="1"/>
    <xf numFmtId="0" fontId="1" fillId="0" borderId="2" xfId="2" applyBorder="1"/>
    <xf numFmtId="0" fontId="0" fillId="0" borderId="2" xfId="2" applyFont="1" applyBorder="1" applyAlignment="1">
      <alignment wrapText="1"/>
    </xf>
    <xf numFmtId="0" fontId="1" fillId="0" borderId="2" xfId="2" applyBorder="1" applyAlignment="1">
      <alignment wrapText="1"/>
    </xf>
    <xf numFmtId="0" fontId="1" fillId="0" borderId="3" xfId="2" applyBorder="1" applyAlignment="1">
      <alignment wrapText="1"/>
    </xf>
    <xf numFmtId="0" fontId="1" fillId="0" borderId="4" xfId="2" applyFont="1" applyBorder="1" applyAlignment="1">
      <alignment wrapText="1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Alignment="1">
      <alignment horizontal="left" vertical="justify" wrapText="1"/>
    </xf>
    <xf numFmtId="3" fontId="1" fillId="2" borderId="10" xfId="2" applyNumberFormat="1" applyFill="1" applyBorder="1" applyAlignment="1">
      <alignment horizontal="center" vertical="justify" wrapText="1"/>
    </xf>
    <xf numFmtId="0" fontId="1" fillId="2" borderId="10" xfId="2" applyFill="1" applyBorder="1" applyAlignment="1">
      <alignment horizontal="center" vertical="justify"/>
    </xf>
    <xf numFmtId="0" fontId="1" fillId="2" borderId="11" xfId="2" applyFill="1" applyBorder="1" applyAlignment="1">
      <alignment horizontal="center" vertical="justify"/>
    </xf>
    <xf numFmtId="2" fontId="1" fillId="2" borderId="12" xfId="2" applyNumberFormat="1" applyFont="1" applyFill="1" applyBorder="1" applyAlignment="1">
      <alignment horizontal="center" vertical="justify"/>
    </xf>
    <xf numFmtId="0" fontId="0" fillId="2" borderId="13" xfId="0" applyFill="1" applyBorder="1" applyAlignment="1">
      <alignment horizontal="left" vertical="justify" wrapText="1"/>
    </xf>
    <xf numFmtId="3" fontId="1" fillId="2" borderId="13" xfId="2" applyNumberFormat="1" applyFill="1" applyBorder="1" applyAlignment="1">
      <alignment horizontal="center" vertical="justify" wrapText="1"/>
    </xf>
    <xf numFmtId="0" fontId="1" fillId="2" borderId="13" xfId="2" applyFill="1" applyBorder="1" applyAlignment="1">
      <alignment horizontal="center" vertical="justify"/>
    </xf>
    <xf numFmtId="0" fontId="1" fillId="2" borderId="14" xfId="2" applyFill="1" applyBorder="1" applyAlignment="1">
      <alignment horizontal="center" vertical="justify"/>
    </xf>
    <xf numFmtId="2" fontId="1" fillId="2" borderId="15" xfId="2" applyNumberFormat="1" applyFont="1" applyFill="1" applyBorder="1" applyAlignment="1">
      <alignment horizontal="center" vertical="justify"/>
    </xf>
    <xf numFmtId="0" fontId="1" fillId="2" borderId="13" xfId="2" applyFont="1" applyFill="1" applyBorder="1" applyAlignment="1">
      <alignment horizontal="left" vertical="justify" wrapText="1"/>
    </xf>
    <xf numFmtId="0" fontId="3" fillId="0" borderId="16" xfId="2" applyFont="1" applyBorder="1" applyAlignment="1">
      <alignment wrapText="1"/>
    </xf>
    <xf numFmtId="3" fontId="0" fillId="2" borderId="16" xfId="2" applyNumberFormat="1" applyFont="1" applyFill="1" applyBorder="1" applyAlignment="1">
      <alignment horizontal="center" vertical="justify" wrapText="1"/>
    </xf>
    <xf numFmtId="0" fontId="3" fillId="3" borderId="13" xfId="2" applyFont="1" applyFill="1" applyBorder="1" applyAlignment="1">
      <alignment horizontal="center" wrapText="1"/>
    </xf>
    <xf numFmtId="164" fontId="3" fillId="3" borderId="16" xfId="3" applyNumberFormat="1" applyFont="1" applyFill="1" applyBorder="1" applyAlignment="1">
      <alignment horizontal="center" wrapText="1"/>
    </xf>
    <xf numFmtId="0" fontId="3" fillId="3" borderId="14" xfId="2" applyFont="1" applyFill="1" applyBorder="1" applyAlignment="1">
      <alignment horizontal="center" wrapText="1"/>
    </xf>
    <xf numFmtId="2" fontId="1" fillId="3" borderId="15" xfId="2" applyNumberFormat="1" applyFont="1" applyFill="1" applyBorder="1" applyAlignment="1">
      <alignment horizontal="center" vertical="justify"/>
    </xf>
    <xf numFmtId="0" fontId="0" fillId="0" borderId="16" xfId="2" applyFont="1" applyBorder="1"/>
    <xf numFmtId="3" fontId="1" fillId="0" borderId="16" xfId="2" applyNumberFormat="1" applyFont="1" applyBorder="1" applyAlignment="1">
      <alignment horizontal="center" wrapText="1"/>
    </xf>
    <xf numFmtId="0" fontId="1" fillId="0" borderId="16" xfId="2" applyBorder="1" applyAlignment="1">
      <alignment wrapText="1"/>
    </xf>
    <xf numFmtId="0" fontId="1" fillId="0" borderId="17" xfId="2" applyBorder="1" applyAlignment="1">
      <alignment wrapText="1"/>
    </xf>
    <xf numFmtId="2" fontId="1" fillId="2" borderId="18" xfId="2" applyNumberFormat="1" applyFont="1" applyFill="1" applyBorder="1" applyAlignment="1">
      <alignment horizontal="center" vertical="justify"/>
    </xf>
    <xf numFmtId="0" fontId="3" fillId="0" borderId="10" xfId="2" applyFont="1" applyBorder="1" applyAlignment="1">
      <alignment wrapText="1"/>
    </xf>
    <xf numFmtId="164" fontId="3" fillId="0" borderId="10" xfId="3" applyNumberFormat="1" applyFont="1" applyBorder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2" fontId="1" fillId="2" borderId="12" xfId="2" applyNumberFormat="1" applyFont="1" applyFill="1" applyBorder="1" applyAlignment="1">
      <alignment horizontal="center" vertical="center"/>
    </xf>
    <xf numFmtId="0" fontId="1" fillId="2" borderId="13" xfId="2" applyFill="1" applyBorder="1" applyAlignment="1">
      <alignment horizontal="left" vertical="justify" wrapText="1"/>
    </xf>
    <xf numFmtId="3" fontId="1" fillId="2" borderId="13" xfId="2" applyNumberFormat="1" applyFill="1" applyBorder="1" applyAlignment="1">
      <alignment horizontal="center" vertical="justify"/>
    </xf>
    <xf numFmtId="0" fontId="1" fillId="0" borderId="13" xfId="2" applyFont="1" applyBorder="1" applyAlignment="1">
      <alignment horizontal="left" vertical="justify" wrapText="1"/>
    </xf>
    <xf numFmtId="3" fontId="1" fillId="0" borderId="13" xfId="2" applyNumberFormat="1" applyBorder="1" applyAlignment="1">
      <alignment horizontal="center" vertical="center"/>
    </xf>
    <xf numFmtId="0" fontId="0" fillId="0" borderId="13" xfId="2" applyFont="1" applyBorder="1"/>
    <xf numFmtId="3" fontId="1" fillId="0" borderId="13" xfId="2" applyNumberFormat="1" applyFont="1" applyBorder="1" applyAlignment="1">
      <alignment horizontal="center" wrapText="1"/>
    </xf>
    <xf numFmtId="0" fontId="1" fillId="0" borderId="13" xfId="2" applyBorder="1" applyAlignment="1">
      <alignment wrapText="1"/>
    </xf>
    <xf numFmtId="0" fontId="1" fillId="0" borderId="14" xfId="2" applyBorder="1" applyAlignment="1">
      <alignment wrapText="1"/>
    </xf>
    <xf numFmtId="0" fontId="3" fillId="0" borderId="13" xfId="2" applyFont="1" applyBorder="1" applyAlignment="1">
      <alignment wrapText="1"/>
    </xf>
    <xf numFmtId="164" fontId="3" fillId="0" borderId="13" xfId="3" applyNumberFormat="1" applyFont="1" applyBorder="1" applyAlignment="1">
      <alignment horizontal="center" wrapText="1"/>
    </xf>
    <xf numFmtId="0" fontId="3" fillId="0" borderId="13" xfId="2" applyFont="1" applyBorder="1" applyAlignment="1">
      <alignment horizontal="center" wrapText="1"/>
    </xf>
    <xf numFmtId="0" fontId="3" fillId="0" borderId="14" xfId="2" applyFont="1" applyBorder="1" applyAlignment="1">
      <alignment horizontal="center" wrapText="1"/>
    </xf>
    <xf numFmtId="2" fontId="1" fillId="2" borderId="15" xfId="2" applyNumberFormat="1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horizontal="left" vertical="justify" wrapText="1"/>
    </xf>
    <xf numFmtId="0" fontId="1" fillId="0" borderId="13" xfId="2" applyBorder="1"/>
    <xf numFmtId="1" fontId="1" fillId="0" borderId="13" xfId="2" applyNumberFormat="1" applyFill="1" applyBorder="1" applyAlignment="1">
      <alignment horizontal="center" wrapText="1"/>
    </xf>
    <xf numFmtId="0" fontId="0" fillId="0" borderId="10" xfId="0" applyBorder="1" applyAlignment="1"/>
    <xf numFmtId="2" fontId="1" fillId="2" borderId="13" xfId="2" applyNumberFormat="1" applyFont="1" applyFill="1" applyBorder="1" applyAlignment="1">
      <alignment horizontal="center" vertical="justify"/>
    </xf>
    <xf numFmtId="0" fontId="0" fillId="0" borderId="10" xfId="0" applyFont="1" applyBorder="1" applyAlignment="1">
      <alignment horizontal="center"/>
    </xf>
    <xf numFmtId="1" fontId="1" fillId="0" borderId="13" xfId="2" applyNumberFormat="1" applyFont="1" applyBorder="1" applyAlignment="1">
      <alignment horizontal="center" wrapText="1"/>
    </xf>
    <xf numFmtId="0" fontId="1" fillId="0" borderId="13" xfId="2" applyFont="1" applyBorder="1"/>
    <xf numFmtId="1" fontId="1" fillId="0" borderId="13" xfId="2" applyNumberFormat="1" applyFont="1" applyFill="1" applyBorder="1" applyAlignment="1">
      <alignment horizontal="center" wrapText="1"/>
    </xf>
    <xf numFmtId="0" fontId="1" fillId="0" borderId="13" xfId="0" applyFont="1" applyBorder="1" applyAlignment="1">
      <alignment horizontal="left" vertical="justify" wrapText="1"/>
    </xf>
    <xf numFmtId="3" fontId="1" fillId="2" borderId="13" xfId="2" applyNumberFormat="1" applyFont="1" applyFill="1" applyBorder="1" applyAlignment="1">
      <alignment horizontal="center" vertical="justify"/>
    </xf>
    <xf numFmtId="0" fontId="0" fillId="0" borderId="22" xfId="0" applyBorder="1"/>
    <xf numFmtId="0" fontId="0" fillId="2" borderId="16" xfId="2" applyFont="1" applyFill="1" applyBorder="1" applyAlignment="1">
      <alignment horizontal="left" vertical="justify" wrapText="1"/>
    </xf>
    <xf numFmtId="3" fontId="1" fillId="2" borderId="16" xfId="2" applyNumberFormat="1" applyFill="1" applyBorder="1" applyAlignment="1">
      <alignment horizontal="center" vertical="justify"/>
    </xf>
    <xf numFmtId="0" fontId="1" fillId="2" borderId="16" xfId="2" applyFill="1" applyBorder="1" applyAlignment="1">
      <alignment horizontal="center" vertical="justify"/>
    </xf>
    <xf numFmtId="0" fontId="1" fillId="2" borderId="17" xfId="2" applyFill="1" applyBorder="1" applyAlignment="1">
      <alignment horizontal="center" vertical="justify"/>
    </xf>
    <xf numFmtId="0" fontId="0" fillId="0" borderId="23" xfId="0" applyBorder="1"/>
    <xf numFmtId="0" fontId="4" fillId="2" borderId="24" xfId="2" applyFont="1" applyFill="1" applyBorder="1" applyAlignment="1">
      <alignment horizontal="left" vertical="justify" wrapText="1"/>
    </xf>
    <xf numFmtId="164" fontId="2" fillId="2" borderId="25" xfId="3" applyNumberFormat="1" applyFont="1" applyFill="1" applyBorder="1" applyAlignment="1">
      <alignment horizontal="center" vertical="justify"/>
    </xf>
    <xf numFmtId="164" fontId="2" fillId="2" borderId="26" xfId="3" applyNumberFormat="1" applyFont="1" applyFill="1" applyBorder="1" applyAlignment="1">
      <alignment horizontal="center" vertical="justify"/>
    </xf>
    <xf numFmtId="2" fontId="5" fillId="2" borderId="27" xfId="2" applyNumberFormat="1" applyFont="1" applyFill="1" applyBorder="1" applyAlignment="1">
      <alignment horizontal="center" vertical="justify"/>
    </xf>
    <xf numFmtId="2" fontId="0" fillId="0" borderId="0" xfId="0" applyNumberFormat="1"/>
    <xf numFmtId="0" fontId="0" fillId="3" borderId="10" xfId="0" applyFont="1" applyFill="1" applyBorder="1" applyAlignment="1">
      <alignment horizontal="center"/>
    </xf>
    <xf numFmtId="0" fontId="0" fillId="0" borderId="3" xfId="2" applyFont="1" applyBorder="1" applyAlignment="1">
      <alignment wrapText="1"/>
    </xf>
    <xf numFmtId="0" fontId="0" fillId="0" borderId="9" xfId="0" applyFont="1" applyBorder="1"/>
    <xf numFmtId="0" fontId="1" fillId="2" borderId="14" xfId="2" applyFont="1" applyFill="1" applyBorder="1" applyAlignment="1">
      <alignment horizontal="center" vertical="justify"/>
    </xf>
    <xf numFmtId="0" fontId="1" fillId="0" borderId="14" xfId="2" applyFont="1" applyBorder="1" applyAlignment="1">
      <alignment horizontal="center" wrapText="1"/>
    </xf>
    <xf numFmtId="0" fontId="0" fillId="0" borderId="21" xfId="0" applyFont="1" applyBorder="1"/>
    <xf numFmtId="0" fontId="0" fillId="0" borderId="13" xfId="0" applyFont="1" applyBorder="1"/>
    <xf numFmtId="0" fontId="2" fillId="4" borderId="0" xfId="2" applyFont="1" applyFill="1" applyAlignment="1">
      <alignment horizontal="right"/>
    </xf>
    <xf numFmtId="3" fontId="0" fillId="0" borderId="0" xfId="0" applyNumberFormat="1"/>
    <xf numFmtId="43" fontId="4" fillId="2" borderId="25" xfId="3" applyNumberFormat="1" applyFont="1" applyFill="1" applyBorder="1" applyAlignment="1">
      <alignment horizontal="center" vertical="justify"/>
    </xf>
    <xf numFmtId="0" fontId="8" fillId="0" borderId="0" xfId="4"/>
    <xf numFmtId="0" fontId="9" fillId="0" borderId="0" xfId="4" applyFont="1"/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2" fillId="0" borderId="0" xfId="4" applyFont="1" applyFill="1" applyBorder="1" applyAlignment="1"/>
    <xf numFmtId="2" fontId="13" fillId="0" borderId="0" xfId="4" applyNumberFormat="1" applyFont="1" applyAlignment="1">
      <alignment horizontal="center"/>
    </xf>
    <xf numFmtId="2" fontId="14" fillId="3" borderId="0" xfId="4" applyNumberFormat="1" applyFont="1" applyFill="1" applyBorder="1" applyAlignment="1">
      <alignment horizontal="center"/>
    </xf>
    <xf numFmtId="0" fontId="14" fillId="0" borderId="1" xfId="4" applyFont="1" applyBorder="1" applyAlignment="1">
      <alignment horizontal="center" vertical="center"/>
    </xf>
    <xf numFmtId="0" fontId="14" fillId="0" borderId="28" xfId="4" applyFont="1" applyBorder="1" applyAlignment="1">
      <alignment horizontal="center" vertical="center" wrapText="1"/>
    </xf>
    <xf numFmtId="0" fontId="14" fillId="0" borderId="29" xfId="4" applyFont="1" applyBorder="1" applyAlignment="1">
      <alignment horizontal="center" vertical="center" wrapText="1"/>
    </xf>
    <xf numFmtId="0" fontId="14" fillId="0" borderId="30" xfId="4" applyFont="1" applyBorder="1" applyAlignment="1">
      <alignment horizontal="center" vertical="center" wrapText="1"/>
    </xf>
    <xf numFmtId="0" fontId="13" fillId="0" borderId="29" xfId="4" applyFont="1" applyBorder="1" applyAlignment="1">
      <alignment wrapText="1"/>
    </xf>
    <xf numFmtId="0" fontId="13" fillId="0" borderId="31" xfId="4" applyFont="1" applyBorder="1" applyAlignment="1">
      <alignment wrapText="1"/>
    </xf>
    <xf numFmtId="0" fontId="15" fillId="0" borderId="9" xfId="4" applyFont="1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/>
    </xf>
    <xf numFmtId="0" fontId="8" fillId="0" borderId="32" xfId="4" applyBorder="1"/>
    <xf numFmtId="0" fontId="13" fillId="0" borderId="9" xfId="4" applyFont="1" applyBorder="1"/>
    <xf numFmtId="0" fontId="16" fillId="0" borderId="13" xfId="4" applyFont="1" applyBorder="1" applyAlignment="1">
      <alignment horizontal="center"/>
    </xf>
    <xf numFmtId="2" fontId="13" fillId="3" borderId="13" xfId="4" applyNumberFormat="1" applyFont="1" applyFill="1" applyBorder="1" applyAlignment="1">
      <alignment horizontal="center"/>
    </xf>
    <xf numFmtId="2" fontId="17" fillId="3" borderId="13" xfId="4" applyNumberFormat="1" applyFont="1" applyFill="1" applyBorder="1"/>
    <xf numFmtId="0" fontId="13" fillId="3" borderId="13" xfId="4" applyNumberFormat="1" applyFont="1" applyFill="1" applyBorder="1" applyAlignment="1">
      <alignment horizontal="center"/>
    </xf>
    <xf numFmtId="2" fontId="17" fillId="3" borderId="13" xfId="6" applyNumberFormat="1" applyFont="1" applyFill="1" applyBorder="1"/>
    <xf numFmtId="166" fontId="14" fillId="2" borderId="34" xfId="5" applyNumberFormat="1" applyFont="1" applyFill="1" applyBorder="1" applyAlignment="1">
      <alignment horizontal="center"/>
    </xf>
    <xf numFmtId="2" fontId="13" fillId="3" borderId="13" xfId="4" applyNumberFormat="1" applyFont="1" applyFill="1" applyBorder="1"/>
    <xf numFmtId="2" fontId="17" fillId="3" borderId="14" xfId="6" applyNumberFormat="1" applyFont="1" applyFill="1" applyBorder="1"/>
    <xf numFmtId="2" fontId="13" fillId="3" borderId="13" xfId="6" applyNumberFormat="1" applyFont="1" applyFill="1" applyBorder="1" applyAlignment="1">
      <alignment horizontal="center"/>
    </xf>
    <xf numFmtId="0" fontId="13" fillId="0" borderId="35" xfId="4" applyFont="1" applyBorder="1" applyAlignment="1">
      <alignment wrapText="1"/>
    </xf>
    <xf numFmtId="0" fontId="16" fillId="0" borderId="16" xfId="4" applyFont="1" applyBorder="1" applyAlignment="1">
      <alignment horizontal="center"/>
    </xf>
    <xf numFmtId="2" fontId="13" fillId="3" borderId="16" xfId="4" applyNumberFormat="1" applyFont="1" applyFill="1" applyBorder="1" applyAlignment="1">
      <alignment horizontal="center"/>
    </xf>
    <xf numFmtId="0" fontId="13" fillId="0" borderId="35" xfId="4" applyFont="1" applyBorder="1"/>
    <xf numFmtId="2" fontId="13" fillId="3" borderId="16" xfId="4" applyNumberFormat="1" applyFont="1" applyFill="1" applyBorder="1"/>
    <xf numFmtId="0" fontId="14" fillId="0" borderId="37" xfId="4" applyFont="1" applyBorder="1"/>
    <xf numFmtId="0" fontId="16" fillId="0" borderId="38" xfId="4" applyFont="1" applyBorder="1" applyAlignment="1">
      <alignment horizontal="center"/>
    </xf>
    <xf numFmtId="2" fontId="12" fillId="2" borderId="38" xfId="4" applyNumberFormat="1" applyFont="1" applyFill="1" applyBorder="1" applyAlignment="1">
      <alignment horizontal="center"/>
    </xf>
    <xf numFmtId="2" fontId="12" fillId="2" borderId="39" xfId="4" applyNumberFormat="1" applyFont="1" applyFill="1" applyBorder="1" applyAlignment="1">
      <alignment horizontal="center"/>
    </xf>
    <xf numFmtId="0" fontId="8" fillId="0" borderId="40" xfId="4" applyBorder="1"/>
    <xf numFmtId="0" fontId="5" fillId="2" borderId="14" xfId="4" applyFont="1" applyFill="1" applyBorder="1" applyAlignment="1">
      <alignment horizontal="left"/>
    </xf>
    <xf numFmtId="0" fontId="5" fillId="2" borderId="19" xfId="4" applyFont="1" applyFill="1" applyBorder="1"/>
    <xf numFmtId="2" fontId="18" fillId="3" borderId="33" xfId="6" applyNumberFormat="1" applyFont="1" applyFill="1" applyBorder="1" applyAlignment="1">
      <alignment horizontal="right"/>
    </xf>
    <xf numFmtId="167" fontId="19" fillId="3" borderId="0" xfId="6" applyNumberFormat="1" applyFont="1" applyFill="1" applyBorder="1" applyAlignment="1">
      <alignment horizontal="right"/>
    </xf>
    <xf numFmtId="0" fontId="8" fillId="2" borderId="0" xfId="4" applyFill="1"/>
    <xf numFmtId="2" fontId="20" fillId="3" borderId="33" xfId="4" applyNumberFormat="1" applyFont="1" applyFill="1" applyBorder="1" applyAlignment="1"/>
    <xf numFmtId="164" fontId="21" fillId="3" borderId="0" xfId="4" applyNumberFormat="1" applyFont="1" applyFill="1" applyBorder="1" applyAlignment="1"/>
    <xf numFmtId="0" fontId="5" fillId="0" borderId="14" xfId="4" applyFont="1" applyFill="1" applyBorder="1"/>
    <xf numFmtId="0" fontId="5" fillId="0" borderId="19" xfId="4" applyFont="1" applyFill="1" applyBorder="1"/>
    <xf numFmtId="2" fontId="18" fillId="3" borderId="33" xfId="4" applyNumberFormat="1" applyFont="1" applyFill="1" applyBorder="1" applyAlignment="1">
      <alignment horizontal="center"/>
    </xf>
    <xf numFmtId="1" fontId="19" fillId="3" borderId="0" xfId="4" applyNumberFormat="1" applyFont="1" applyFill="1" applyBorder="1" applyAlignment="1">
      <alignment horizontal="center"/>
    </xf>
    <xf numFmtId="0" fontId="9" fillId="2" borderId="17" xfId="4" applyFont="1" applyFill="1" applyBorder="1"/>
    <xf numFmtId="0" fontId="5" fillId="2" borderId="36" xfId="4" applyFont="1" applyFill="1" applyBorder="1"/>
    <xf numFmtId="0" fontId="5" fillId="0" borderId="36" xfId="4" applyFont="1" applyFill="1" applyBorder="1"/>
    <xf numFmtId="2" fontId="20" fillId="3" borderId="41" xfId="4" applyNumberFormat="1" applyFont="1" applyFill="1" applyBorder="1"/>
    <xf numFmtId="1" fontId="22" fillId="3" borderId="0" xfId="4" applyNumberFormat="1" applyFont="1" applyFill="1" applyBorder="1"/>
    <xf numFmtId="0" fontId="9" fillId="2" borderId="14" xfId="4" applyFont="1" applyFill="1" applyBorder="1"/>
    <xf numFmtId="2" fontId="10" fillId="3" borderId="33" xfId="4" applyNumberFormat="1" applyFont="1" applyFill="1" applyBorder="1"/>
    <xf numFmtId="0" fontId="14" fillId="0" borderId="19" xfId="4" applyFont="1" applyFill="1" applyBorder="1"/>
    <xf numFmtId="2" fontId="12" fillId="3" borderId="33" xfId="4" applyNumberFormat="1" applyFont="1" applyFill="1" applyBorder="1"/>
    <xf numFmtId="1" fontId="23" fillId="3" borderId="0" xfId="4" applyNumberFormat="1" applyFont="1" applyFill="1" applyBorder="1"/>
    <xf numFmtId="0" fontId="5" fillId="0" borderId="19" xfId="4" applyFont="1" applyBorder="1"/>
    <xf numFmtId="0" fontId="8" fillId="0" borderId="19" xfId="4" applyBorder="1"/>
    <xf numFmtId="0" fontId="8" fillId="3" borderId="0" xfId="4" applyFill="1"/>
    <xf numFmtId="0" fontId="5" fillId="0" borderId="0" xfId="4" applyFont="1" applyFill="1" applyBorder="1"/>
    <xf numFmtId="0" fontId="1" fillId="0" borderId="2" xfId="2" applyFont="1" applyBorder="1" applyAlignment="1">
      <alignment wrapText="1"/>
    </xf>
    <xf numFmtId="0" fontId="1" fillId="0" borderId="3" xfId="2" applyFont="1" applyBorder="1" applyAlignment="1">
      <alignment wrapText="1"/>
    </xf>
    <xf numFmtId="0" fontId="1" fillId="0" borderId="13" xfId="2" applyFont="1" applyFill="1" applyBorder="1" applyAlignment="1">
      <alignment wrapText="1"/>
    </xf>
    <xf numFmtId="0" fontId="0" fillId="0" borderId="13" xfId="2" applyFont="1" applyBorder="1" applyAlignment="1">
      <alignment wrapText="1"/>
    </xf>
    <xf numFmtId="0" fontId="24" fillId="0" borderId="13" xfId="2" applyFont="1" applyFill="1" applyBorder="1" applyAlignment="1">
      <alignment wrapText="1"/>
    </xf>
    <xf numFmtId="0" fontId="0" fillId="0" borderId="13" xfId="0" applyBorder="1"/>
    <xf numFmtId="0" fontId="24" fillId="0" borderId="13" xfId="0" applyFont="1" applyBorder="1"/>
    <xf numFmtId="0" fontId="0" fillId="2" borderId="10" xfId="0" applyFont="1" applyFill="1" applyBorder="1" applyAlignment="1">
      <alignment horizontal="left" vertical="justify" wrapText="1"/>
    </xf>
    <xf numFmtId="3" fontId="1" fillId="2" borderId="10" xfId="2" applyNumberFormat="1" applyFont="1" applyFill="1" applyBorder="1" applyAlignment="1">
      <alignment horizontal="center" vertical="justify" wrapText="1"/>
    </xf>
    <xf numFmtId="0" fontId="1" fillId="2" borderId="11" xfId="2" applyFont="1" applyFill="1" applyBorder="1" applyAlignment="1">
      <alignment horizontal="center" vertical="justify"/>
    </xf>
    <xf numFmtId="2" fontId="1" fillId="2" borderId="11" xfId="2" applyNumberFormat="1" applyFont="1" applyFill="1" applyBorder="1" applyAlignment="1">
      <alignment horizontal="center" vertical="justify"/>
    </xf>
    <xf numFmtId="0" fontId="0" fillId="5" borderId="13" xfId="0" applyFill="1" applyBorder="1"/>
    <xf numFmtId="1" fontId="24" fillId="0" borderId="13" xfId="0" applyNumberFormat="1" applyFont="1" applyBorder="1"/>
    <xf numFmtId="0" fontId="0" fillId="2" borderId="11" xfId="2" applyFont="1" applyFill="1" applyBorder="1" applyAlignment="1">
      <alignment horizontal="center" vertical="justify"/>
    </xf>
    <xf numFmtId="0" fontId="0" fillId="2" borderId="13" xfId="0" applyFont="1" applyFill="1" applyBorder="1" applyAlignment="1">
      <alignment horizontal="left" vertical="justify" wrapText="1"/>
    </xf>
    <xf numFmtId="3" fontId="1" fillId="2" borderId="13" xfId="2" applyNumberFormat="1" applyFont="1" applyFill="1" applyBorder="1" applyAlignment="1">
      <alignment horizontal="center" vertical="justify" wrapText="1"/>
    </xf>
    <xf numFmtId="2" fontId="1" fillId="2" borderId="14" xfId="2" applyNumberFormat="1" applyFont="1" applyFill="1" applyBorder="1" applyAlignment="1">
      <alignment horizontal="center" vertical="justify"/>
    </xf>
    <xf numFmtId="3" fontId="0" fillId="0" borderId="13" xfId="0" applyNumberFormat="1" applyBorder="1"/>
    <xf numFmtId="0" fontId="24" fillId="2" borderId="14" xfId="2" applyFont="1" applyFill="1" applyBorder="1" applyAlignment="1">
      <alignment horizontal="center" vertical="justify" wrapText="1"/>
    </xf>
    <xf numFmtId="0" fontId="0" fillId="2" borderId="14" xfId="2" applyFont="1" applyFill="1" applyBorder="1" applyAlignment="1">
      <alignment horizontal="center" vertical="justify"/>
    </xf>
    <xf numFmtId="164" fontId="1" fillId="0" borderId="13" xfId="3" applyNumberFormat="1" applyFont="1" applyBorder="1" applyAlignment="1">
      <alignment wrapText="1"/>
    </xf>
    <xf numFmtId="2" fontId="1" fillId="2" borderId="17" xfId="2" applyNumberFormat="1" applyFont="1" applyFill="1" applyBorder="1" applyAlignment="1">
      <alignment horizontal="center" vertical="justify"/>
    </xf>
    <xf numFmtId="164" fontId="1" fillId="0" borderId="10" xfId="3" applyNumberFormat="1" applyFont="1" applyBorder="1" applyAlignment="1">
      <alignment horizontal="center" wrapText="1"/>
    </xf>
    <xf numFmtId="0" fontId="1" fillId="0" borderId="11" xfId="2" applyFont="1" applyBorder="1" applyAlignment="1">
      <alignment horizontal="center" wrapText="1"/>
    </xf>
    <xf numFmtId="2" fontId="1" fillId="2" borderId="11" xfId="2" applyNumberFormat="1" applyFont="1" applyFill="1" applyBorder="1" applyAlignment="1">
      <alignment horizontal="center" vertical="center"/>
    </xf>
    <xf numFmtId="3" fontId="1" fillId="0" borderId="13" xfId="2" applyNumberFormat="1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2" fontId="1" fillId="2" borderId="14" xfId="2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10" xfId="0" applyBorder="1" applyAlignment="1">
      <alignment horizontal="center"/>
    </xf>
    <xf numFmtId="0" fontId="0" fillId="2" borderId="13" xfId="2" applyFont="1" applyFill="1" applyBorder="1" applyAlignment="1">
      <alignment horizontal="center" vertical="justify"/>
    </xf>
    <xf numFmtId="0" fontId="0" fillId="0" borderId="13" xfId="1" applyNumberFormat="1" applyFont="1" applyBorder="1"/>
    <xf numFmtId="2" fontId="0" fillId="0" borderId="13" xfId="0" applyNumberFormat="1" applyBorder="1"/>
    <xf numFmtId="0" fontId="0" fillId="0" borderId="42" xfId="0" applyFill="1" applyBorder="1"/>
    <xf numFmtId="0" fontId="24" fillId="2" borderId="14" xfId="2" applyFont="1" applyFill="1" applyBorder="1" applyAlignment="1">
      <alignment horizontal="center" vertical="justify"/>
    </xf>
    <xf numFmtId="2" fontId="5" fillId="2" borderId="26" xfId="2" applyNumberFormat="1" applyFont="1" applyFill="1" applyBorder="1" applyAlignment="1">
      <alignment horizontal="center" vertical="justify"/>
    </xf>
    <xf numFmtId="2" fontId="1" fillId="2" borderId="38" xfId="2" applyNumberFormat="1" applyFont="1" applyFill="1" applyBorder="1" applyAlignment="1">
      <alignment horizontal="center" vertical="justify"/>
    </xf>
    <xf numFmtId="0" fontId="0" fillId="0" borderId="5" xfId="0" applyFont="1" applyBorder="1"/>
    <xf numFmtId="0" fontId="0" fillId="0" borderId="6" xfId="2" applyFont="1" applyBorder="1" applyAlignment="1">
      <alignment horizontal="center"/>
    </xf>
    <xf numFmtId="0" fontId="1" fillId="0" borderId="7" xfId="2" applyBorder="1" applyAlignment="1">
      <alignment horizontal="center"/>
    </xf>
    <xf numFmtId="0" fontId="0" fillId="0" borderId="6" xfId="2" applyFont="1" applyBorder="1" applyAlignment="1">
      <alignment horizontal="center" vertical="justify" wrapText="1"/>
    </xf>
    <xf numFmtId="0" fontId="1" fillId="0" borderId="7" xfId="2" applyFont="1" applyBorder="1" applyAlignment="1">
      <alignment horizontal="center" vertical="justify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2" applyBorder="1" applyAlignment="1">
      <alignment horizontal="center"/>
    </xf>
    <xf numFmtId="0" fontId="0" fillId="0" borderId="14" xfId="2" applyFont="1" applyBorder="1" applyAlignment="1">
      <alignment horizontal="center" vertical="justify" wrapText="1"/>
    </xf>
    <xf numFmtId="0" fontId="1" fillId="0" borderId="19" xfId="2" applyFont="1" applyBorder="1" applyAlignment="1">
      <alignment horizontal="center" vertical="justify" wrapText="1"/>
    </xf>
    <xf numFmtId="0" fontId="1" fillId="0" borderId="20" xfId="2" applyFont="1" applyBorder="1" applyAlignment="1">
      <alignment horizontal="center" vertical="justify" wrapText="1"/>
    </xf>
  </cellXfs>
  <cellStyles count="7">
    <cellStyle name="Обычный" xfId="0" builtinId="0"/>
    <cellStyle name="Обычный 2" xfId="4"/>
    <cellStyle name="Обычный_отчет по начислению 16" xfId="2"/>
    <cellStyle name="Процентный" xfId="1" builtinId="5"/>
    <cellStyle name="Процентный 2" xfId="5"/>
    <cellStyle name="Финансовый 2" xfId="6"/>
    <cellStyle name="Финансовый_отчет по начислению 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6;&#1090;&#1095;&#1077;&#1090;&#1099;%20&#1092;&#1056;&#1059;&#1053;&#1047;&#1045;%2016-&#1059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0;&#1089;&#1082;%20&#1089;\Documents%20and%20Settings\1\&#1052;&#1086;&#1080;%20&#1076;&#1086;&#1082;&#1091;&#1084;&#1077;&#1085;&#1090;&#1099;\&#1076;&#1086;&#1084;&#1072;\&#1087;&#1088;&#1086;&#1084;&#1077;&#1078;%20&#1091;&#1082;\&#1087;&#1088;&#1086;&#1084;&#1077;&#1078;&#1091;&#1090;&#1086;&#1095;&#1085;&#1099;-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0;&#1089;&#1082;%20&#1089;\Documents%20and%20Settings\1\&#1052;&#1086;&#1080;%20&#1076;&#1086;&#1082;&#1091;&#1084;&#1077;&#1085;&#1090;&#1099;\&#1090;&#1077;&#1083;&#1077;&#1092;&#1086;&#1085;&#1085;&#1099;&#1081;%20&#1089;&#1087;&#1088;&#1072;&#1074;&#1086;&#1095;&#1085;&#108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0;&#1089;&#1082;%20&#1089;\Documents%20and%20Settings\1\&#1052;&#1086;&#1080;%20&#1076;&#1086;&#1082;&#1091;&#1084;&#1077;&#1085;&#1090;&#1099;\&#1076;&#1086;&#1084;&#1072;\&#1087;&#1088;&#1086;&#1084;&#1077;&#1078;%20&#1091;&#1082;\&#1087;&#1088;&#1086;&#1084;&#1077;&#1078;&#1091;&#1090;&#1086;&#1095;&#1085;&#1099;-13%20(&#1040;&#1074;&#1090;&#1086;&#1089;&#1086;&#1093;&#1088;&#1072;&#1085;&#1077;&#1085;&#1085;&#1099;&#1081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9;&#1050;%20&#1055;&#1045;&#1056;&#1057;&#1055;&#1045;&#1050;&#1058;&#1048;&#1042;&#1040;/&#1044;&#1054;&#1052;&#1040;/&#1059;&#1050;/&#1092;&#1088;&#1091;&#1085;&#1079;&#1077;16/&#1088;&#1072;&#1089;&#1095;&#1105;&#1090;%20&#1085;&#1072;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2"/>
      <sheetName val="отчет 2013"/>
    </sheetNames>
    <sheetDataSet>
      <sheetData sheetId="0">
        <row r="23">
          <cell r="G23">
            <v>55511.730000000214</v>
          </cell>
        </row>
        <row r="24">
          <cell r="G24">
            <v>155125.90000000014</v>
          </cell>
        </row>
        <row r="28">
          <cell r="G28">
            <v>-3494.9613150000741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</sheetNames>
    <sheetDataSet>
      <sheetData sheetId="0">
        <row r="19">
          <cell r="U19">
            <v>5638.84</v>
          </cell>
        </row>
        <row r="20">
          <cell r="U20">
            <v>10381.929999999998</v>
          </cell>
        </row>
        <row r="21">
          <cell r="U21">
            <v>242652.54</v>
          </cell>
        </row>
        <row r="22">
          <cell r="U22">
            <v>178939.97999999998</v>
          </cell>
        </row>
        <row r="24">
          <cell r="U24">
            <v>121884.42</v>
          </cell>
        </row>
        <row r="25">
          <cell r="U25">
            <v>63868.58</v>
          </cell>
        </row>
        <row r="26">
          <cell r="U26">
            <v>3159.33</v>
          </cell>
        </row>
        <row r="27">
          <cell r="U27">
            <v>67218.86</v>
          </cell>
        </row>
        <row r="28">
          <cell r="U28">
            <v>41268.19</v>
          </cell>
        </row>
        <row r="29">
          <cell r="U29">
            <v>628385.40999999992</v>
          </cell>
        </row>
        <row r="30">
          <cell r="U30">
            <v>702</v>
          </cell>
        </row>
        <row r="31">
          <cell r="U31">
            <v>1029.5</v>
          </cell>
        </row>
        <row r="117">
          <cell r="U117">
            <v>178939.97999999998</v>
          </cell>
        </row>
        <row r="118">
          <cell r="U118">
            <v>628390.48</v>
          </cell>
        </row>
      </sheetData>
      <sheetData sheetId="1">
        <row r="19">
          <cell r="U19">
            <v>244.95</v>
          </cell>
        </row>
        <row r="20">
          <cell r="U20">
            <v>4876.7000000000007</v>
          </cell>
        </row>
        <row r="21">
          <cell r="U21">
            <v>12548.640000000001</v>
          </cell>
        </row>
        <row r="23">
          <cell r="U23">
            <v>232012.19</v>
          </cell>
        </row>
        <row r="24">
          <cell r="U24">
            <v>185747.13999999998</v>
          </cell>
        </row>
        <row r="27">
          <cell r="U27">
            <v>118313.23</v>
          </cell>
        </row>
        <row r="28">
          <cell r="U28">
            <v>62552.01</v>
          </cell>
        </row>
        <row r="29">
          <cell r="U29">
            <v>5609.58</v>
          </cell>
        </row>
        <row r="30">
          <cell r="U30">
            <v>63577.229999999996</v>
          </cell>
        </row>
        <row r="31">
          <cell r="U31">
            <v>39436.68</v>
          </cell>
        </row>
        <row r="32">
          <cell r="U32">
            <v>643076.71</v>
          </cell>
        </row>
        <row r="33">
          <cell r="U33">
            <v>696.82</v>
          </cell>
        </row>
        <row r="34">
          <cell r="U34">
            <v>137.84</v>
          </cell>
        </row>
        <row r="124">
          <cell r="U124">
            <v>185669.57</v>
          </cell>
        </row>
        <row r="125">
          <cell r="U125">
            <v>643068.29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р.16-3"/>
      <sheetName val="2006"/>
      <sheetName val="2007"/>
      <sheetName val="2008"/>
      <sheetName val="2009"/>
      <sheetName val="2009 (2)"/>
      <sheetName val="2010"/>
      <sheetName val="2011"/>
      <sheetName val="2012"/>
      <sheetName val="2012УК"/>
      <sheetName val="2013"/>
      <sheetName val="2013электр"/>
      <sheetName val="2014"/>
      <sheetName val="Лист2"/>
      <sheetName val="Лист3"/>
      <sheetName val="укс"/>
      <sheetName val="укс (2)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N21">
            <v>63868.443000000007</v>
          </cell>
        </row>
        <row r="25">
          <cell r="N25">
            <v>121468.12800000001</v>
          </cell>
        </row>
        <row r="29">
          <cell r="N29">
            <v>192278.44705319998</v>
          </cell>
        </row>
        <row r="33">
          <cell r="N33">
            <v>721576.60246999993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</sheetNames>
    <sheetDataSet>
      <sheetData sheetId="0">
        <row r="22">
          <cell r="U22">
            <v>198457.63</v>
          </cell>
        </row>
        <row r="118">
          <cell r="U118">
            <v>735663.81</v>
          </cell>
        </row>
      </sheetData>
      <sheetData sheetId="1">
        <row r="124">
          <cell r="U124">
            <v>205168.91000000003</v>
          </cell>
        </row>
        <row r="125">
          <cell r="U125">
            <v>715024.82000000007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2"/>
      <sheetName val="Лист1"/>
      <sheetName val="на 2012"/>
      <sheetName val="на 2013"/>
      <sheetName val="план-факт 2013"/>
      <sheetName val="отчет 2013"/>
      <sheetName val="содержаниеи2013"/>
      <sheetName val="на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tabSelected="1" view="pageLayout" zoomScaleNormal="100" workbookViewId="0">
      <selection activeCell="H23" sqref="H23"/>
    </sheetView>
  </sheetViews>
  <sheetFormatPr defaultRowHeight="12.75" x14ac:dyDescent="0.2"/>
  <cols>
    <col min="1" max="1" width="3.7109375" customWidth="1"/>
    <col min="2" max="2" width="34.85546875" customWidth="1"/>
    <col min="3" max="3" width="11.5703125" customWidth="1"/>
    <col min="4" max="4" width="5.5703125" customWidth="1"/>
    <col min="5" max="5" width="7.5703125" customWidth="1"/>
    <col min="6" max="7" width="7" customWidth="1"/>
    <col min="8" max="8" width="11.7109375" customWidth="1"/>
    <col min="9" max="9" width="6.5703125" customWidth="1"/>
    <col min="10" max="10" width="6.7109375" customWidth="1"/>
  </cols>
  <sheetData>
    <row r="1" spans="1:10" ht="15.75" x14ac:dyDescent="0.25">
      <c r="B1" s="1" t="s">
        <v>0</v>
      </c>
      <c r="C1" s="2"/>
      <c r="D1" s="2"/>
      <c r="E1" s="2"/>
      <c r="F1" s="2"/>
    </row>
    <row r="2" spans="1:10" ht="15.75" x14ac:dyDescent="0.25">
      <c r="B2" s="3" t="s">
        <v>1</v>
      </c>
      <c r="C2" s="2"/>
      <c r="D2" s="2"/>
      <c r="E2" s="2"/>
      <c r="F2" s="2"/>
    </row>
    <row r="3" spans="1:10" ht="16.5" thickBot="1" x14ac:dyDescent="0.3">
      <c r="B3" s="1" t="s">
        <v>87</v>
      </c>
      <c r="C3" s="4"/>
      <c r="D3" s="2"/>
      <c r="E3" s="2"/>
      <c r="F3" s="2"/>
    </row>
    <row r="4" spans="1:10" ht="64.5" thickBot="1" x14ac:dyDescent="0.25">
      <c r="A4" s="5" t="s">
        <v>3</v>
      </c>
      <c r="B4" s="6" t="s">
        <v>4</v>
      </c>
      <c r="C4" s="147" t="s">
        <v>88</v>
      </c>
      <c r="D4" s="8" t="s">
        <v>6</v>
      </c>
      <c r="E4" s="76" t="s">
        <v>89</v>
      </c>
      <c r="F4" s="148" t="s">
        <v>7</v>
      </c>
      <c r="G4" s="149" t="s">
        <v>90</v>
      </c>
      <c r="H4" s="149" t="s">
        <v>91</v>
      </c>
      <c r="I4" s="150" t="s">
        <v>92</v>
      </c>
      <c r="J4" s="151" t="s">
        <v>93</v>
      </c>
    </row>
    <row r="5" spans="1:10" ht="13.5" thickBot="1" x14ac:dyDescent="0.25">
      <c r="A5" s="64"/>
      <c r="B5" s="185" t="s">
        <v>8</v>
      </c>
      <c r="C5" s="186"/>
      <c r="D5" s="186"/>
      <c r="E5" s="186"/>
      <c r="F5" s="186"/>
      <c r="G5" s="152"/>
      <c r="H5" s="152"/>
      <c r="I5" s="152"/>
      <c r="J5" s="153"/>
    </row>
    <row r="6" spans="1:10" ht="27.75" customHeight="1" x14ac:dyDescent="0.2">
      <c r="A6" s="11">
        <v>1</v>
      </c>
      <c r="B6" s="154" t="s">
        <v>9</v>
      </c>
      <c r="C6" s="155">
        <v>13000</v>
      </c>
      <c r="D6" s="15" t="s">
        <v>10</v>
      </c>
      <c r="E6" s="156" t="s">
        <v>94</v>
      </c>
      <c r="F6" s="157">
        <f t="shared" ref="F6:F12" si="0">C6/2729.5/12</f>
        <v>0.39689808878304939</v>
      </c>
      <c r="G6" s="152" t="s">
        <v>95</v>
      </c>
      <c r="H6" s="158">
        <f>185.44+1770</f>
        <v>1955.44</v>
      </c>
      <c r="I6" s="152"/>
      <c r="J6" s="159">
        <f>H6-C6</f>
        <v>-11044.56</v>
      </c>
    </row>
    <row r="7" spans="1:10" ht="27.75" customHeight="1" x14ac:dyDescent="0.2">
      <c r="A7" s="11">
        <v>2</v>
      </c>
      <c r="B7" s="154" t="s">
        <v>96</v>
      </c>
      <c r="C7" s="155">
        <v>1500</v>
      </c>
      <c r="D7" s="15" t="s">
        <v>10</v>
      </c>
      <c r="E7" s="160" t="s">
        <v>97</v>
      </c>
      <c r="F7" s="157">
        <f>C7/2729.5/12</f>
        <v>4.5795933321121085E-2</v>
      </c>
      <c r="G7" s="152" t="s">
        <v>95</v>
      </c>
      <c r="H7" s="158"/>
      <c r="I7" s="152"/>
      <c r="J7" s="159">
        <f t="shared" ref="J7:J39" si="1">H7-C7</f>
        <v>-1500</v>
      </c>
    </row>
    <row r="8" spans="1:10" ht="38.25" x14ac:dyDescent="0.2">
      <c r="A8" s="12">
        <v>3</v>
      </c>
      <c r="B8" s="161" t="s">
        <v>11</v>
      </c>
      <c r="C8" s="162">
        <v>2000</v>
      </c>
      <c r="D8" s="20" t="s">
        <v>10</v>
      </c>
      <c r="E8" s="78" t="s">
        <v>98</v>
      </c>
      <c r="F8" s="163">
        <f t="shared" si="0"/>
        <v>6.1061244428161444E-2</v>
      </c>
      <c r="G8" s="152" t="s">
        <v>95</v>
      </c>
      <c r="H8" s="158">
        <v>33410</v>
      </c>
      <c r="I8" s="164">
        <f>H6+H8+H10-C6-C7-C8-C10</f>
        <v>6365.4400000000023</v>
      </c>
      <c r="J8" s="159">
        <f t="shared" si="1"/>
        <v>31410</v>
      </c>
    </row>
    <row r="9" spans="1:10" ht="25.5" customHeight="1" x14ac:dyDescent="0.2">
      <c r="A9" s="12">
        <v>4</v>
      </c>
      <c r="B9" s="53" t="s">
        <v>12</v>
      </c>
      <c r="C9" s="162">
        <v>2000</v>
      </c>
      <c r="D9" s="20" t="s">
        <v>10</v>
      </c>
      <c r="E9" s="165" t="s">
        <v>99</v>
      </c>
      <c r="F9" s="163">
        <f t="shared" si="0"/>
        <v>6.1061244428161444E-2</v>
      </c>
      <c r="G9" s="152" t="s">
        <v>95</v>
      </c>
      <c r="H9" s="152">
        <v>781</v>
      </c>
      <c r="I9" s="152"/>
      <c r="J9" s="159">
        <f t="shared" si="1"/>
        <v>-1219</v>
      </c>
    </row>
    <row r="10" spans="1:10" x14ac:dyDescent="0.2">
      <c r="A10" s="12">
        <v>5</v>
      </c>
      <c r="B10" s="154" t="s">
        <v>13</v>
      </c>
      <c r="C10" s="162">
        <v>12500</v>
      </c>
      <c r="D10" s="20" t="s">
        <v>10</v>
      </c>
      <c r="E10" s="78" t="s">
        <v>100</v>
      </c>
      <c r="F10" s="163">
        <f t="shared" si="0"/>
        <v>0.38163277767600906</v>
      </c>
      <c r="G10" s="152" t="s">
        <v>95</v>
      </c>
      <c r="H10" s="158"/>
      <c r="I10" s="152"/>
      <c r="J10" s="159">
        <f t="shared" si="1"/>
        <v>-12500</v>
      </c>
    </row>
    <row r="11" spans="1:10" ht="25.5" x14ac:dyDescent="0.2">
      <c r="A11" s="12">
        <v>6</v>
      </c>
      <c r="B11" s="154" t="s">
        <v>101</v>
      </c>
      <c r="C11" s="162">
        <f>100*10</f>
        <v>1000</v>
      </c>
      <c r="D11" s="20" t="s">
        <v>10</v>
      </c>
      <c r="E11" s="166" t="s">
        <v>102</v>
      </c>
      <c r="F11" s="163">
        <f>C11/2729.5/12</f>
        <v>3.0530622214080722E-2</v>
      </c>
      <c r="G11" s="152" t="s">
        <v>95</v>
      </c>
      <c r="H11" s="152">
        <v>690</v>
      </c>
      <c r="I11" s="152"/>
      <c r="J11" s="159">
        <f t="shared" si="1"/>
        <v>-310</v>
      </c>
    </row>
    <row r="12" spans="1:10" ht="14.25" x14ac:dyDescent="0.2">
      <c r="A12" s="12">
        <v>7</v>
      </c>
      <c r="B12" s="150" t="s">
        <v>103</v>
      </c>
      <c r="C12" s="167">
        <v>2500</v>
      </c>
      <c r="D12" s="50" t="s">
        <v>15</v>
      </c>
      <c r="E12" s="79" t="s">
        <v>85</v>
      </c>
      <c r="F12" s="163">
        <f t="shared" si="0"/>
        <v>7.6326555535201804E-2</v>
      </c>
      <c r="G12" s="152" t="s">
        <v>95</v>
      </c>
      <c r="H12" s="152">
        <v>1009.29</v>
      </c>
      <c r="I12" s="152"/>
      <c r="J12" s="159">
        <f t="shared" si="1"/>
        <v>-1490.71</v>
      </c>
    </row>
    <row r="13" spans="1:10" ht="13.5" thickBot="1" x14ac:dyDescent="0.25">
      <c r="A13" s="12"/>
      <c r="B13" s="30" t="s">
        <v>17</v>
      </c>
      <c r="C13" s="31">
        <f>SUM(C6:C12)</f>
        <v>34500</v>
      </c>
      <c r="D13" s="32"/>
      <c r="E13" s="33"/>
      <c r="F13" s="168">
        <f>C13/2729.5/12</f>
        <v>1.053306466385785</v>
      </c>
      <c r="G13" s="152"/>
      <c r="H13" s="31">
        <f>SUM(H6:H12)</f>
        <v>37845.730000000003</v>
      </c>
      <c r="I13" s="168">
        <f>H13/2729.5/12</f>
        <v>1.1554536850461015</v>
      </c>
      <c r="J13" s="159">
        <f t="shared" si="1"/>
        <v>3345.7300000000032</v>
      </c>
    </row>
    <row r="14" spans="1:10" ht="13.5" thickBot="1" x14ac:dyDescent="0.25">
      <c r="A14" s="11"/>
      <c r="B14" s="185" t="s">
        <v>18</v>
      </c>
      <c r="C14" s="186"/>
      <c r="D14" s="186"/>
      <c r="E14" s="186"/>
      <c r="F14" s="186"/>
      <c r="G14" s="152"/>
      <c r="H14" s="152"/>
      <c r="I14" s="152"/>
      <c r="J14" s="159">
        <f t="shared" si="1"/>
        <v>0</v>
      </c>
    </row>
    <row r="15" spans="1:10" ht="28.5" x14ac:dyDescent="0.2">
      <c r="A15" s="12">
        <v>8</v>
      </c>
      <c r="B15" s="35" t="s">
        <v>19</v>
      </c>
      <c r="C15" s="169">
        <v>4000</v>
      </c>
      <c r="D15" s="37" t="s">
        <v>15</v>
      </c>
      <c r="E15" s="170" t="s">
        <v>104</v>
      </c>
      <c r="F15" s="171">
        <f>C15/2729.5/12</f>
        <v>0.12212248885632289</v>
      </c>
      <c r="G15" s="152"/>
      <c r="H15" s="152"/>
      <c r="I15" s="152"/>
      <c r="J15" s="159">
        <f t="shared" si="1"/>
        <v>-4000</v>
      </c>
    </row>
    <row r="16" spans="1:10" ht="22.5" customHeight="1" x14ac:dyDescent="0.2">
      <c r="A16" s="12">
        <v>9</v>
      </c>
      <c r="B16" s="40" t="s">
        <v>20</v>
      </c>
      <c r="C16" s="63">
        <v>500</v>
      </c>
      <c r="D16" s="20" t="s">
        <v>10</v>
      </c>
      <c r="E16" s="165" t="s">
        <v>99</v>
      </c>
      <c r="F16" s="163">
        <f>C16/2729.5/12</f>
        <v>1.5265311107040361E-2</v>
      </c>
      <c r="G16" s="152" t="s">
        <v>95</v>
      </c>
      <c r="H16" s="152">
        <f>55.3+160+98+105</f>
        <v>418.3</v>
      </c>
      <c r="I16" s="152"/>
      <c r="J16" s="159">
        <f t="shared" si="1"/>
        <v>-81.699999999999989</v>
      </c>
    </row>
    <row r="17" spans="1:10" ht="25.5" x14ac:dyDescent="0.2">
      <c r="A17" s="12">
        <v>10</v>
      </c>
      <c r="B17" s="42" t="s">
        <v>21</v>
      </c>
      <c r="C17" s="172">
        <v>3700</v>
      </c>
      <c r="D17" s="20" t="s">
        <v>10</v>
      </c>
      <c r="E17" s="166" t="s">
        <v>84</v>
      </c>
      <c r="F17" s="163">
        <f>C17/2729.5/12</f>
        <v>0.11296330219209867</v>
      </c>
      <c r="G17" s="152" t="s">
        <v>95</v>
      </c>
      <c r="H17" s="152">
        <v>2826.8</v>
      </c>
      <c r="I17" s="152"/>
      <c r="J17" s="159">
        <f t="shared" si="1"/>
        <v>-873.19999999999982</v>
      </c>
    </row>
    <row r="18" spans="1:10" ht="13.5" thickBot="1" x14ac:dyDescent="0.25">
      <c r="A18" s="12"/>
      <c r="B18" s="30" t="s">
        <v>17</v>
      </c>
      <c r="C18" s="31">
        <f>SUM(C15:C17)</f>
        <v>8200</v>
      </c>
      <c r="D18" s="32"/>
      <c r="E18" s="33"/>
      <c r="F18" s="168">
        <f>C18/2729.5/12</f>
        <v>0.25035110215546191</v>
      </c>
      <c r="G18" s="152"/>
      <c r="H18" s="31">
        <f>SUM(H15:H17)</f>
        <v>3245.1000000000004</v>
      </c>
      <c r="I18" s="168">
        <f>H18/2729.5/12</f>
        <v>9.9074922146913366E-2</v>
      </c>
      <c r="J18" s="159">
        <f t="shared" si="1"/>
        <v>-4954.8999999999996</v>
      </c>
    </row>
    <row r="19" spans="1:10" ht="13.5" thickBot="1" x14ac:dyDescent="0.25">
      <c r="A19" s="11"/>
      <c r="B19" s="187" t="s">
        <v>22</v>
      </c>
      <c r="C19" s="188"/>
      <c r="D19" s="188"/>
      <c r="E19" s="188"/>
      <c r="F19" s="188"/>
      <c r="G19" s="152"/>
      <c r="H19" s="152"/>
      <c r="I19" s="152"/>
      <c r="J19" s="159">
        <f t="shared" si="1"/>
        <v>0</v>
      </c>
    </row>
    <row r="20" spans="1:10" ht="51" x14ac:dyDescent="0.2">
      <c r="A20" s="12">
        <v>11</v>
      </c>
      <c r="B20" s="35" t="s">
        <v>105</v>
      </c>
      <c r="C20" s="36">
        <v>8000</v>
      </c>
      <c r="D20" s="37" t="s">
        <v>15</v>
      </c>
      <c r="E20" s="170" t="s">
        <v>106</v>
      </c>
      <c r="F20" s="171">
        <f>C20/2729.5/12</f>
        <v>0.24424497771264578</v>
      </c>
      <c r="G20" s="173" t="s">
        <v>107</v>
      </c>
      <c r="H20" s="152"/>
      <c r="I20" s="152"/>
      <c r="J20" s="159">
        <f t="shared" si="1"/>
        <v>-8000</v>
      </c>
    </row>
    <row r="21" spans="1:10" ht="38.25" x14ac:dyDescent="0.2">
      <c r="A21" s="12">
        <v>12</v>
      </c>
      <c r="B21" s="48" t="s">
        <v>108</v>
      </c>
      <c r="C21" s="49">
        <v>10000</v>
      </c>
      <c r="D21" s="50" t="s">
        <v>15</v>
      </c>
      <c r="E21" s="79" t="s">
        <v>106</v>
      </c>
      <c r="F21" s="174">
        <f>C21/2729.5/12</f>
        <v>0.30530622214080722</v>
      </c>
      <c r="G21" s="173" t="s">
        <v>109</v>
      </c>
      <c r="H21" s="152">
        <v>42</v>
      </c>
      <c r="I21" s="152"/>
      <c r="J21" s="159">
        <f t="shared" si="1"/>
        <v>-9958</v>
      </c>
    </row>
    <row r="22" spans="1:10" ht="25.5" x14ac:dyDescent="0.2">
      <c r="A22" s="12">
        <v>13</v>
      </c>
      <c r="B22" s="40" t="s">
        <v>110</v>
      </c>
      <c r="C22" s="41">
        <v>1500</v>
      </c>
      <c r="D22" s="20" t="s">
        <v>10</v>
      </c>
      <c r="E22" s="166" t="s">
        <v>86</v>
      </c>
      <c r="F22" s="163">
        <f>C22/2729.5/12</f>
        <v>4.5795933321121085E-2</v>
      </c>
      <c r="G22" s="152" t="s">
        <v>95</v>
      </c>
      <c r="H22" s="152">
        <v>1095</v>
      </c>
      <c r="I22" s="152"/>
      <c r="J22" s="159">
        <f t="shared" si="1"/>
        <v>-405</v>
      </c>
    </row>
    <row r="23" spans="1:10" x14ac:dyDescent="0.2">
      <c r="A23" s="12"/>
      <c r="B23" s="44" t="s">
        <v>17</v>
      </c>
      <c r="C23" s="45">
        <f>SUM(C20:C22)</f>
        <v>19500</v>
      </c>
      <c r="D23" s="46"/>
      <c r="E23" s="47"/>
      <c r="F23" s="163">
        <f>C23/2729.5/12</f>
        <v>0.59534713317457411</v>
      </c>
      <c r="G23" s="152"/>
      <c r="H23" s="45">
        <f>SUM(H20:H22)</f>
        <v>1137</v>
      </c>
      <c r="I23" s="168">
        <f>H23/2729.5/12</f>
        <v>3.4713317457409784E-2</v>
      </c>
      <c r="J23" s="159">
        <f t="shared" si="1"/>
        <v>-18363</v>
      </c>
    </row>
    <row r="24" spans="1:10" x14ac:dyDescent="0.2">
      <c r="A24" s="12"/>
      <c r="B24" s="189" t="s">
        <v>26</v>
      </c>
      <c r="C24" s="190"/>
      <c r="D24" s="190"/>
      <c r="E24" s="190"/>
      <c r="F24" s="190"/>
      <c r="G24" s="152"/>
      <c r="H24" s="152"/>
      <c r="I24" s="152"/>
      <c r="J24" s="159">
        <f t="shared" si="1"/>
        <v>0</v>
      </c>
    </row>
    <row r="25" spans="1:10" ht="25.5" x14ac:dyDescent="0.2">
      <c r="A25" s="12">
        <v>14</v>
      </c>
      <c r="B25" s="54" t="s">
        <v>27</v>
      </c>
      <c r="C25" s="55">
        <f>1500*1.27*2+1500*10</f>
        <v>18810</v>
      </c>
      <c r="D25" s="20" t="s">
        <v>10</v>
      </c>
      <c r="E25" s="166" t="s">
        <v>111</v>
      </c>
      <c r="F25" s="163">
        <f>C25/2729.5/12</f>
        <v>0.57428100384685843</v>
      </c>
      <c r="G25" s="152" t="s">
        <v>95</v>
      </c>
      <c r="H25" s="152">
        <f>15000+4137.6+147.4+61+215+45.6+55</f>
        <v>19661.599999999999</v>
      </c>
      <c r="I25" s="152"/>
      <c r="J25" s="159">
        <f t="shared" si="1"/>
        <v>851.59999999999854</v>
      </c>
    </row>
    <row r="26" spans="1:10" ht="25.5" x14ac:dyDescent="0.2">
      <c r="A26" s="12">
        <v>15</v>
      </c>
      <c r="B26" s="44" t="s">
        <v>112</v>
      </c>
      <c r="C26" s="55">
        <f>950+1387+7600</f>
        <v>9937</v>
      </c>
      <c r="D26" s="20" t="s">
        <v>10</v>
      </c>
      <c r="E26" s="166" t="s">
        <v>113</v>
      </c>
      <c r="F26" s="163">
        <f>C26/2729.5/12</f>
        <v>0.30338279294132015</v>
      </c>
      <c r="G26" s="152" t="s">
        <v>95</v>
      </c>
      <c r="H26" s="152">
        <f>8550+1387</f>
        <v>9937</v>
      </c>
      <c r="I26" s="152"/>
      <c r="J26" s="159">
        <f t="shared" si="1"/>
        <v>0</v>
      </c>
    </row>
    <row r="27" spans="1:10" ht="25.5" x14ac:dyDescent="0.2">
      <c r="A27" s="12">
        <v>16</v>
      </c>
      <c r="B27" s="53" t="s">
        <v>29</v>
      </c>
      <c r="C27" s="41">
        <f>1200*12</f>
        <v>14400</v>
      </c>
      <c r="D27" s="20" t="s">
        <v>10</v>
      </c>
      <c r="E27" s="166" t="s">
        <v>111</v>
      </c>
      <c r="F27" s="163">
        <f>C27/2729.5/12</f>
        <v>0.43964095988276242</v>
      </c>
      <c r="G27" s="152" t="s">
        <v>95</v>
      </c>
      <c r="H27" s="152">
        <f>11592+14.9</f>
        <v>11606.9</v>
      </c>
      <c r="I27" s="152"/>
      <c r="J27" s="159">
        <f t="shared" si="1"/>
        <v>-2793.1000000000004</v>
      </c>
    </row>
    <row r="28" spans="1:10" ht="13.5" thickBot="1" x14ac:dyDescent="0.25">
      <c r="A28" s="12"/>
      <c r="B28" s="30" t="s">
        <v>17</v>
      </c>
      <c r="C28" s="31">
        <f>SUM(C25:C27)</f>
        <v>43147</v>
      </c>
      <c r="D28" s="32"/>
      <c r="E28" s="33"/>
      <c r="F28" s="168">
        <f>C28/2729.5/12</f>
        <v>1.3173047566709408</v>
      </c>
      <c r="G28" s="152"/>
      <c r="H28" s="31">
        <f>SUM(H25:H27)</f>
        <v>41205.5</v>
      </c>
      <c r="I28" s="168">
        <f>H28/2729.5/12</f>
        <v>1.2580295536423032</v>
      </c>
      <c r="J28" s="159">
        <f t="shared" si="1"/>
        <v>-1941.5</v>
      </c>
    </row>
    <row r="29" spans="1:10" ht="13.5" thickBot="1" x14ac:dyDescent="0.25">
      <c r="A29" s="175"/>
      <c r="B29" s="191" t="s">
        <v>30</v>
      </c>
      <c r="C29" s="192"/>
      <c r="D29" s="192"/>
      <c r="E29" s="192"/>
      <c r="F29" s="192"/>
      <c r="G29" s="152"/>
      <c r="H29" s="152"/>
      <c r="I29" s="152"/>
      <c r="J29" s="159">
        <f t="shared" si="1"/>
        <v>0</v>
      </c>
    </row>
    <row r="30" spans="1:10" x14ac:dyDescent="0.2">
      <c r="A30" s="12">
        <v>17</v>
      </c>
      <c r="B30" s="56" t="s">
        <v>31</v>
      </c>
      <c r="C30" s="176">
        <v>3620</v>
      </c>
      <c r="D30" s="20" t="s">
        <v>10</v>
      </c>
      <c r="E30" s="177" t="s">
        <v>85</v>
      </c>
      <c r="F30" s="163">
        <f t="shared" ref="F30:F38" si="2">C30/2729.5/12</f>
        <v>0.11052085241497223</v>
      </c>
      <c r="G30" s="152" t="s">
        <v>95</v>
      </c>
      <c r="H30" s="152">
        <v>3600</v>
      </c>
      <c r="I30" s="152"/>
      <c r="J30" s="159">
        <f t="shared" si="1"/>
        <v>-20</v>
      </c>
    </row>
    <row r="31" spans="1:10" x14ac:dyDescent="0.2">
      <c r="A31" s="12">
        <v>18</v>
      </c>
      <c r="B31" s="54" t="s">
        <v>33</v>
      </c>
      <c r="C31" s="59">
        <f>1.57*2729.5*12</f>
        <v>51423.780000000006</v>
      </c>
      <c r="D31" s="20" t="s">
        <v>10</v>
      </c>
      <c r="E31" s="177"/>
      <c r="F31" s="163">
        <f t="shared" si="2"/>
        <v>1.5700000000000003</v>
      </c>
      <c r="G31" s="152"/>
      <c r="H31" s="178">
        <v>51423.8</v>
      </c>
      <c r="I31" s="179"/>
      <c r="J31" s="159">
        <f t="shared" si="1"/>
        <v>1.9999999996798579E-2</v>
      </c>
    </row>
    <row r="32" spans="1:10" x14ac:dyDescent="0.2">
      <c r="A32" s="12">
        <v>19</v>
      </c>
      <c r="B32" s="60" t="s">
        <v>34</v>
      </c>
      <c r="C32" s="61">
        <f>2*1800+2000*10</f>
        <v>23600</v>
      </c>
      <c r="D32" s="20" t="s">
        <v>10</v>
      </c>
      <c r="E32" s="166"/>
      <c r="F32" s="163">
        <f t="shared" si="2"/>
        <v>0.72052268425230503</v>
      </c>
      <c r="G32" s="152"/>
      <c r="H32" s="152">
        <v>23600</v>
      </c>
      <c r="I32" s="152"/>
      <c r="J32" s="159">
        <f t="shared" si="1"/>
        <v>0</v>
      </c>
    </row>
    <row r="33" spans="1:10" x14ac:dyDescent="0.2">
      <c r="A33" s="12">
        <v>20</v>
      </c>
      <c r="B33" s="60" t="s">
        <v>35</v>
      </c>
      <c r="C33" s="61">
        <f>12*200</f>
        <v>2400</v>
      </c>
      <c r="D33" s="20" t="s">
        <v>10</v>
      </c>
      <c r="E33" s="166"/>
      <c r="F33" s="163">
        <f t="shared" si="2"/>
        <v>7.3273493313793736E-2</v>
      </c>
      <c r="G33" s="152"/>
      <c r="H33" s="152">
        <v>3100</v>
      </c>
      <c r="I33" s="152"/>
      <c r="J33" s="159">
        <f t="shared" si="1"/>
        <v>700</v>
      </c>
    </row>
    <row r="34" spans="1:10" x14ac:dyDescent="0.2">
      <c r="A34" s="12">
        <v>21</v>
      </c>
      <c r="B34" s="60" t="s">
        <v>36</v>
      </c>
      <c r="C34" s="61">
        <f>0.76*12*2729.5</f>
        <v>24893.040000000005</v>
      </c>
      <c r="D34" s="20" t="s">
        <v>10</v>
      </c>
      <c r="E34" s="166"/>
      <c r="F34" s="163">
        <f t="shared" si="2"/>
        <v>0.76000000000000012</v>
      </c>
      <c r="G34" s="152"/>
      <c r="H34" s="152">
        <v>23855.83</v>
      </c>
      <c r="I34" s="152"/>
      <c r="J34" s="159">
        <f t="shared" si="1"/>
        <v>-1037.2100000000028</v>
      </c>
    </row>
    <row r="35" spans="1:10" ht="25.5" x14ac:dyDescent="0.2">
      <c r="A35" s="12">
        <v>22</v>
      </c>
      <c r="B35" s="62" t="s">
        <v>37</v>
      </c>
      <c r="C35" s="41">
        <f>10.55*12*54+9*12*54</f>
        <v>12668.400000000001</v>
      </c>
      <c r="D35" s="20" t="s">
        <v>10</v>
      </c>
      <c r="E35" s="166"/>
      <c r="F35" s="163">
        <f t="shared" si="2"/>
        <v>0.38677413445686026</v>
      </c>
      <c r="G35" s="152"/>
      <c r="H35" s="152">
        <f>5814+6836.4</f>
        <v>12650.4</v>
      </c>
      <c r="I35" s="152"/>
      <c r="J35" s="159">
        <f t="shared" si="1"/>
        <v>-18.000000000001819</v>
      </c>
    </row>
    <row r="36" spans="1:10" x14ac:dyDescent="0.2">
      <c r="A36" s="12">
        <v>23</v>
      </c>
      <c r="B36" s="62" t="s">
        <v>38</v>
      </c>
      <c r="C36" s="63">
        <f>7.5*40*12</f>
        <v>3600</v>
      </c>
      <c r="D36" s="20" t="s">
        <v>10</v>
      </c>
      <c r="E36" s="166"/>
      <c r="F36" s="163">
        <f t="shared" si="2"/>
        <v>0.1099102399706906</v>
      </c>
      <c r="G36" s="152"/>
      <c r="H36" s="152">
        <v>4274.76</v>
      </c>
      <c r="I36" s="152"/>
      <c r="J36" s="159">
        <f t="shared" si="1"/>
        <v>674.76000000000022</v>
      </c>
    </row>
    <row r="37" spans="1:10" ht="33.75" x14ac:dyDescent="0.2">
      <c r="A37" s="180">
        <v>24</v>
      </c>
      <c r="B37" s="23" t="s">
        <v>39</v>
      </c>
      <c r="C37" s="41">
        <v>10000</v>
      </c>
      <c r="D37" s="20" t="s">
        <v>10</v>
      </c>
      <c r="E37" s="181" t="s">
        <v>99</v>
      </c>
      <c r="F37" s="163">
        <f t="shared" si="2"/>
        <v>0.30530622214080722</v>
      </c>
      <c r="G37" s="152"/>
      <c r="H37" s="152">
        <f>494+720+57.92+398.46+7961+200+183.67+15000+7074+86+773+4132.8+414+72+4230+87.2+1850+966</f>
        <v>44700.05</v>
      </c>
      <c r="I37" s="152"/>
      <c r="J37" s="159">
        <f t="shared" si="1"/>
        <v>34700.050000000003</v>
      </c>
    </row>
    <row r="38" spans="1:10" ht="13.5" thickBot="1" x14ac:dyDescent="0.25">
      <c r="A38" s="64"/>
      <c r="B38" s="30" t="s">
        <v>17</v>
      </c>
      <c r="C38" s="31">
        <f>SUM(C30:C37)</f>
        <v>132205.22</v>
      </c>
      <c r="D38" s="32"/>
      <c r="E38" s="33"/>
      <c r="F38" s="168">
        <f t="shared" si="2"/>
        <v>4.0363076265494291</v>
      </c>
      <c r="G38" s="152"/>
      <c r="H38" s="152">
        <f>SUM(H30:H37)</f>
        <v>167204.84</v>
      </c>
      <c r="I38" s="168">
        <f>H38/2729.5/12</f>
        <v>5.1048678024058125</v>
      </c>
      <c r="J38" s="159">
        <f t="shared" si="1"/>
        <v>34999.619999999995</v>
      </c>
    </row>
    <row r="39" spans="1:10" ht="16.5" thickBot="1" x14ac:dyDescent="0.25">
      <c r="A39" s="69"/>
      <c r="B39" s="70" t="s">
        <v>41</v>
      </c>
      <c r="C39" s="71">
        <f>C13+C18+C23+C28+C38</f>
        <v>237552.22</v>
      </c>
      <c r="D39" s="71"/>
      <c r="E39" s="72"/>
      <c r="F39" s="182">
        <f>C39/2729.5/12</f>
        <v>7.2526170849361913</v>
      </c>
      <c r="G39" s="152"/>
      <c r="H39" s="71">
        <f>H13+H18+H23+H28+H38</f>
        <v>250638.16999999998</v>
      </c>
      <c r="I39" s="183">
        <f>H39/2729.5/12</f>
        <v>7.6521392806985409</v>
      </c>
      <c r="J39" s="159">
        <f t="shared" si="1"/>
        <v>13085.949999999983</v>
      </c>
    </row>
    <row r="42" spans="1:10" x14ac:dyDescent="0.2">
      <c r="B42" s="74"/>
    </row>
    <row r="43" spans="1:10" x14ac:dyDescent="0.2">
      <c r="B43" s="74"/>
      <c r="C43" s="74"/>
    </row>
    <row r="44" spans="1:10" x14ac:dyDescent="0.2">
      <c r="C44" s="74"/>
    </row>
  </sheetData>
  <mergeCells count="5">
    <mergeCell ref="B5:F5"/>
    <mergeCell ref="B14:F14"/>
    <mergeCell ref="B19:F19"/>
    <mergeCell ref="B24:F24"/>
    <mergeCell ref="B29:F29"/>
  </mergeCells>
  <pageMargins left="0.125" right="4.1666666666666664E-2" top="9.375E-2" bottom="0.15625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view="pageLayout" topLeftCell="A4" zoomScale="75" zoomScaleNormal="85" zoomScalePageLayoutView="75" workbookViewId="0">
      <selection activeCell="H26" sqref="H26"/>
    </sheetView>
  </sheetViews>
  <sheetFormatPr defaultRowHeight="12.75" x14ac:dyDescent="0.2"/>
  <cols>
    <col min="1" max="1" width="24.85546875" style="85" customWidth="1"/>
    <col min="2" max="2" width="4" style="85" customWidth="1"/>
    <col min="3" max="3" width="17.7109375" style="85" customWidth="1"/>
    <col min="4" max="4" width="15.85546875" style="85" customWidth="1"/>
    <col min="5" max="5" width="16.42578125" style="85" customWidth="1"/>
    <col min="6" max="6" width="16.28515625" style="85" bestFit="1" customWidth="1"/>
    <col min="7" max="8" width="14.28515625" style="85" customWidth="1"/>
    <col min="9" max="9" width="17.85546875" style="85" customWidth="1"/>
    <col min="10" max="10" width="12.7109375" style="85" customWidth="1"/>
    <col min="11" max="16384" width="9.140625" style="85"/>
  </cols>
  <sheetData>
    <row r="1" spans="1:10" ht="18" x14ac:dyDescent="0.25">
      <c r="B1" s="86"/>
      <c r="C1" s="87" t="s">
        <v>42</v>
      </c>
      <c r="D1" s="88"/>
      <c r="E1" s="89" t="s">
        <v>43</v>
      </c>
      <c r="F1" s="86"/>
      <c r="G1" s="86"/>
      <c r="H1" s="86"/>
      <c r="I1" s="90">
        <f>'[1]отчет 2012'!G23</f>
        <v>55511.730000000214</v>
      </c>
    </row>
    <row r="2" spans="1:10" ht="18" x14ac:dyDescent="0.25">
      <c r="B2" s="86"/>
      <c r="C2" s="87" t="s">
        <v>44</v>
      </c>
      <c r="D2" s="88"/>
      <c r="E2" s="89" t="s">
        <v>45</v>
      </c>
      <c r="F2" s="86"/>
      <c r="G2" s="86"/>
      <c r="H2" s="86"/>
      <c r="I2" s="90">
        <f>'[1]отчет 2012'!G24</f>
        <v>155125.90000000014</v>
      </c>
    </row>
    <row r="3" spans="1:10" ht="18" x14ac:dyDescent="0.25">
      <c r="B3" s="86"/>
      <c r="C3" s="87" t="s">
        <v>46</v>
      </c>
      <c r="D3" s="88"/>
      <c r="E3" s="89" t="s">
        <v>47</v>
      </c>
      <c r="F3" s="86"/>
      <c r="G3" s="86"/>
      <c r="H3" s="86"/>
      <c r="I3" s="91">
        <f>'[1]отчет 2012'!G28</f>
        <v>-3494.9613150000741</v>
      </c>
    </row>
    <row r="4" spans="1:10" ht="18.75" thickBot="1" x14ac:dyDescent="0.3">
      <c r="B4" s="86"/>
      <c r="C4" s="87" t="s">
        <v>48</v>
      </c>
      <c r="D4" s="88"/>
      <c r="E4" s="88"/>
      <c r="F4" s="86"/>
      <c r="G4" s="86"/>
      <c r="H4" s="86"/>
    </row>
    <row r="5" spans="1:10" ht="95.25" customHeight="1" x14ac:dyDescent="0.25">
      <c r="A5" s="92" t="s">
        <v>49</v>
      </c>
      <c r="B5" s="93" t="s">
        <v>50</v>
      </c>
      <c r="C5" s="93" t="s">
        <v>51</v>
      </c>
      <c r="D5" s="93" t="s">
        <v>52</v>
      </c>
      <c r="E5" s="94" t="s">
        <v>53</v>
      </c>
      <c r="F5" s="94" t="s">
        <v>54</v>
      </c>
      <c r="G5" s="95" t="s">
        <v>55</v>
      </c>
      <c r="H5" s="95" t="s">
        <v>56</v>
      </c>
      <c r="I5" s="96" t="s">
        <v>57</v>
      </c>
      <c r="J5" s="97" t="s">
        <v>58</v>
      </c>
    </row>
    <row r="6" spans="1:10" x14ac:dyDescent="0.2">
      <c r="A6" s="98">
        <v>1</v>
      </c>
      <c r="B6" s="99">
        <v>2</v>
      </c>
      <c r="C6" s="99">
        <v>3</v>
      </c>
      <c r="D6" s="99">
        <v>4</v>
      </c>
      <c r="E6" s="99">
        <v>6</v>
      </c>
      <c r="F6" s="99">
        <v>7</v>
      </c>
      <c r="G6" s="99">
        <v>8</v>
      </c>
      <c r="H6" s="99">
        <v>9</v>
      </c>
      <c r="I6" s="100">
        <v>10</v>
      </c>
      <c r="J6" s="101"/>
    </row>
    <row r="7" spans="1:10" ht="18" x14ac:dyDescent="0.25">
      <c r="A7" s="102" t="s">
        <v>59</v>
      </c>
      <c r="B7" s="103">
        <v>1</v>
      </c>
      <c r="C7" s="104">
        <f>D7</f>
        <v>250638.17</v>
      </c>
      <c r="D7" s="104">
        <f>23855.83+23600+3100+57.92+185.44+781+720+494+55.3+398.46+7961+1770+(24318.82-6041.82)+200+7183.1+183.67+1095+(4863.75-1208.35)+3600+8550+1387+4274.76+2826.8+15000+33410+15000+5814+6836.4+51423.8+7074+86+773+1009.29</f>
        <v>250638.17</v>
      </c>
      <c r="E7" s="105">
        <f>[2]начислено!$U$21-E19</f>
        <v>237468.6</v>
      </c>
      <c r="F7" s="105"/>
      <c r="G7" s="104">
        <f>[2]оплата!$U$23+[2]оплата!$U$19-G19</f>
        <v>229785.14</v>
      </c>
      <c r="H7" s="106"/>
      <c r="I7" s="107">
        <f>D7-E7</f>
        <v>13169.570000000007</v>
      </c>
      <c r="J7" s="108">
        <f>G20/E20</f>
        <v>0.96825513098694005</v>
      </c>
    </row>
    <row r="8" spans="1:10" ht="18" x14ac:dyDescent="0.25">
      <c r="A8" s="102" t="s">
        <v>60</v>
      </c>
      <c r="B8" s="103">
        <v>3</v>
      </c>
      <c r="C8" s="104">
        <f>'[3]2013'!$N$29</f>
        <v>192278.44705319998</v>
      </c>
      <c r="D8" s="104">
        <v>192278.44</v>
      </c>
      <c r="E8" s="109">
        <f>[2]начислено!$U$22-[2]начислено!$U$117</f>
        <v>0</v>
      </c>
      <c r="F8" s="109">
        <f>[4]начислено!$U$22</f>
        <v>198457.63</v>
      </c>
      <c r="G8" s="104">
        <f>[2]оплата!$U$24-[2]оплата!$U$124</f>
        <v>77.569999999977881</v>
      </c>
      <c r="H8" s="104">
        <f>[4]оплата!$U$124</f>
        <v>205168.91000000003</v>
      </c>
      <c r="I8" s="110">
        <f>D8-E8-F8</f>
        <v>-6179.1900000000023</v>
      </c>
      <c r="J8" s="101"/>
    </row>
    <row r="9" spans="1:10" ht="18" x14ac:dyDescent="0.25">
      <c r="A9" s="102" t="s">
        <v>61</v>
      </c>
      <c r="B9" s="103">
        <v>4</v>
      </c>
      <c r="C9" s="104">
        <f>'[3]2013'!$N$25</f>
        <v>121468.12800000001</v>
      </c>
      <c r="D9" s="104">
        <v>119864.38</v>
      </c>
      <c r="E9" s="109">
        <f>[2]начислено!$U$24</f>
        <v>121884.42</v>
      </c>
      <c r="F9" s="109"/>
      <c r="G9" s="106">
        <f>[2]оплата!$U$27</f>
        <v>118313.23</v>
      </c>
      <c r="H9" s="104"/>
      <c r="I9" s="110">
        <f>D9-E9</f>
        <v>-2020.0399999999936</v>
      </c>
      <c r="J9" s="101"/>
    </row>
    <row r="10" spans="1:10" ht="18" x14ac:dyDescent="0.25">
      <c r="A10" s="102" t="s">
        <v>62</v>
      </c>
      <c r="B10" s="103">
        <v>5</v>
      </c>
      <c r="C10" s="104">
        <f>'[3]2013'!$N$21</f>
        <v>63868.443000000007</v>
      </c>
      <c r="D10" s="104">
        <v>63868.44</v>
      </c>
      <c r="E10" s="109">
        <f>[2]начислено!$U$25</f>
        <v>63868.58</v>
      </c>
      <c r="F10" s="109"/>
      <c r="G10" s="106">
        <f>[2]оплата!$U$28</f>
        <v>62552.01</v>
      </c>
      <c r="H10" s="104"/>
      <c r="I10" s="110">
        <f>D10-E10</f>
        <v>-0.13999999999941792</v>
      </c>
      <c r="J10" s="101"/>
    </row>
    <row r="11" spans="1:10" ht="18" x14ac:dyDescent="0.25">
      <c r="A11" s="102" t="s">
        <v>63</v>
      </c>
      <c r="B11" s="103">
        <v>6</v>
      </c>
      <c r="C11" s="104">
        <f>D11</f>
        <v>37698.15</v>
      </c>
      <c r="D11" s="104">
        <v>37698.15</v>
      </c>
      <c r="E11" s="109">
        <f>[2]начислено!$U$28</f>
        <v>41268.19</v>
      </c>
      <c r="F11" s="109"/>
      <c r="G11" s="106">
        <f>[2]оплата!$U$31</f>
        <v>39436.68</v>
      </c>
      <c r="H11" s="104"/>
      <c r="I11" s="110">
        <f>D11-E11</f>
        <v>-3570.0400000000009</v>
      </c>
      <c r="J11" s="101"/>
    </row>
    <row r="12" spans="1:10" ht="18" x14ac:dyDescent="0.25">
      <c r="A12" s="102" t="s">
        <v>64</v>
      </c>
      <c r="B12" s="103">
        <v>7</v>
      </c>
      <c r="C12" s="111">
        <f>'[3]2013'!$N$33</f>
        <v>721576.60246999993</v>
      </c>
      <c r="D12" s="111">
        <v>721576.6</v>
      </c>
      <c r="E12" s="109">
        <f>[2]начислено!$U$29-[2]начислено!$U$118</f>
        <v>-5.0700000000651926</v>
      </c>
      <c r="F12" s="109">
        <f>[4]начислено!$U$118</f>
        <v>735663.81</v>
      </c>
      <c r="G12" s="104">
        <f>[2]оплата!$U$32-[2]оплата!$U$125</f>
        <v>8.4199999999254942</v>
      </c>
      <c r="H12" s="104">
        <f>[4]оплата!$U$125</f>
        <v>715024.82000000007</v>
      </c>
      <c r="I12" s="110">
        <f>D12-E12-F12</f>
        <v>-14082.140000000014</v>
      </c>
      <c r="J12" s="108">
        <f>H20/F20</f>
        <v>0.98509004353866458</v>
      </c>
    </row>
    <row r="13" spans="1:10" ht="18" x14ac:dyDescent="0.25">
      <c r="A13" s="102" t="s">
        <v>65</v>
      </c>
      <c r="B13" s="103">
        <v>8</v>
      </c>
      <c r="C13" s="104">
        <f>D13</f>
        <v>3112.57</v>
      </c>
      <c r="D13" s="104">
        <f>2593.82+518.75</f>
        <v>3112.57</v>
      </c>
      <c r="E13" s="109">
        <f>[2]начислено!$U$26</f>
        <v>3159.33</v>
      </c>
      <c r="F13" s="109"/>
      <c r="G13" s="106">
        <f>[2]оплата!$U$29</f>
        <v>5609.58</v>
      </c>
      <c r="H13" s="104"/>
      <c r="I13" s="110">
        <f t="shared" ref="I13:I18" si="0">D13-E13</f>
        <v>-46.759999999999764</v>
      </c>
      <c r="J13" s="101"/>
    </row>
    <row r="14" spans="1:10" ht="18" x14ac:dyDescent="0.25">
      <c r="A14" s="102" t="s">
        <v>66</v>
      </c>
      <c r="B14" s="103">
        <v>9</v>
      </c>
      <c r="C14" s="104">
        <f>D14</f>
        <v>49728</v>
      </c>
      <c r="D14" s="104">
        <v>49728</v>
      </c>
      <c r="E14" s="109">
        <f>[2]начислено!$U$27</f>
        <v>67218.86</v>
      </c>
      <c r="F14" s="109"/>
      <c r="G14" s="106">
        <f>[2]оплата!$U$30</f>
        <v>63577.229999999996</v>
      </c>
      <c r="H14" s="104"/>
      <c r="I14" s="110">
        <f t="shared" si="0"/>
        <v>-17490.86</v>
      </c>
      <c r="J14" s="101"/>
    </row>
    <row r="15" spans="1:10" ht="18" x14ac:dyDescent="0.25">
      <c r="A15" s="102" t="s">
        <v>67</v>
      </c>
      <c r="B15" s="103">
        <v>10</v>
      </c>
      <c r="C15" s="104">
        <f>D15</f>
        <v>702</v>
      </c>
      <c r="D15" s="104">
        <v>702</v>
      </c>
      <c r="E15" s="109">
        <f>[2]начислено!$U$30</f>
        <v>702</v>
      </c>
      <c r="F15" s="109"/>
      <c r="G15" s="104">
        <f>[2]оплата!$U$33</f>
        <v>696.82</v>
      </c>
      <c r="H15" s="104"/>
      <c r="I15" s="110">
        <f t="shared" si="0"/>
        <v>0</v>
      </c>
      <c r="J15" s="101"/>
    </row>
    <row r="16" spans="1:10" ht="18" x14ac:dyDescent="0.25">
      <c r="A16" s="112" t="s">
        <v>68</v>
      </c>
      <c r="B16" s="113">
        <v>11</v>
      </c>
      <c r="C16" s="114">
        <f>D16</f>
        <v>10381.36</v>
      </c>
      <c r="D16" s="114">
        <v>10381.36</v>
      </c>
      <c r="E16" s="109">
        <f>[2]начислено!$U$20</f>
        <v>10381.929999999998</v>
      </c>
      <c r="F16" s="109"/>
      <c r="G16" s="104">
        <f>[2]оплата!$U$21</f>
        <v>12548.640000000001</v>
      </c>
      <c r="H16" s="104"/>
      <c r="I16" s="110">
        <f t="shared" si="0"/>
        <v>-0.56999999999788997</v>
      </c>
      <c r="J16" s="101"/>
    </row>
    <row r="17" spans="1:10" ht="18" x14ac:dyDescent="0.25">
      <c r="A17" s="112" t="s">
        <v>69</v>
      </c>
      <c r="B17" s="113">
        <v>12</v>
      </c>
      <c r="C17" s="114">
        <f>D17</f>
        <v>5638.84</v>
      </c>
      <c r="D17" s="114">
        <v>5638.84</v>
      </c>
      <c r="E17" s="109">
        <f>[2]начислено!$U$19</f>
        <v>5638.84</v>
      </c>
      <c r="F17" s="109"/>
      <c r="G17" s="104">
        <f>[2]оплата!$U$20</f>
        <v>4876.7000000000007</v>
      </c>
      <c r="H17" s="104"/>
      <c r="I17" s="110">
        <f t="shared" si="0"/>
        <v>0</v>
      </c>
      <c r="J17" s="101"/>
    </row>
    <row r="18" spans="1:10" ht="18" x14ac:dyDescent="0.25">
      <c r="A18" s="115" t="s">
        <v>70</v>
      </c>
      <c r="B18" s="113">
        <v>13</v>
      </c>
      <c r="C18" s="114">
        <f>E18</f>
        <v>1029.5</v>
      </c>
      <c r="D18" s="114">
        <f>E18</f>
        <v>1029.5</v>
      </c>
      <c r="E18" s="109">
        <f>[2]начислено!$U$31</f>
        <v>1029.5</v>
      </c>
      <c r="F18" s="109"/>
      <c r="G18" s="104">
        <f>[2]оплата!$U$34</f>
        <v>137.84</v>
      </c>
      <c r="H18" s="104"/>
      <c r="I18" s="110">
        <f t="shared" si="0"/>
        <v>0</v>
      </c>
      <c r="J18" s="101"/>
    </row>
    <row r="19" spans="1:10" ht="18" x14ac:dyDescent="0.25">
      <c r="A19" s="115" t="s">
        <v>71</v>
      </c>
      <c r="B19" s="113">
        <v>14</v>
      </c>
      <c r="C19" s="114">
        <f>D19</f>
        <v>6075.92</v>
      </c>
      <c r="D19" s="114">
        <f>3448+689.6+440+144+1354.32</f>
        <v>6075.92</v>
      </c>
      <c r="E19" s="116">
        <f>2472+2711.94</f>
        <v>5183.9400000000005</v>
      </c>
      <c r="F19" s="116">
        <v>0</v>
      </c>
      <c r="G19" s="114">
        <v>2472</v>
      </c>
      <c r="H19" s="114"/>
      <c r="I19" s="110">
        <f>D19-E19</f>
        <v>891.97999999999956</v>
      </c>
      <c r="J19" s="101"/>
    </row>
    <row r="20" spans="1:10" ht="18.75" thickBot="1" x14ac:dyDescent="0.3">
      <c r="A20" s="117" t="s">
        <v>72</v>
      </c>
      <c r="B20" s="118">
        <v>15</v>
      </c>
      <c r="C20" s="119">
        <f t="shared" ref="C20:H20" si="1">SUM(C7:C19)</f>
        <v>1464196.1305232001</v>
      </c>
      <c r="D20" s="119">
        <f t="shared" si="1"/>
        <v>1462592.37</v>
      </c>
      <c r="E20" s="119">
        <f t="shared" si="1"/>
        <v>557799.12</v>
      </c>
      <c r="F20" s="119">
        <f t="shared" si="1"/>
        <v>934121.44000000006</v>
      </c>
      <c r="G20" s="119">
        <f t="shared" si="1"/>
        <v>540091.85999999987</v>
      </c>
      <c r="H20" s="119">
        <f t="shared" si="1"/>
        <v>920193.7300000001</v>
      </c>
      <c r="I20" s="120">
        <f>SUM(I7:I19)</f>
        <v>-29328.190000000006</v>
      </c>
      <c r="J20" s="121"/>
    </row>
    <row r="21" spans="1:10" s="126" customFormat="1" ht="18" x14ac:dyDescent="0.25">
      <c r="A21" s="122" t="s">
        <v>73</v>
      </c>
      <c r="B21" s="123"/>
      <c r="C21" s="123"/>
      <c r="D21" s="123"/>
      <c r="E21" s="123"/>
      <c r="F21" s="123"/>
      <c r="G21" s="123"/>
      <c r="H21" s="123"/>
      <c r="I21" s="124">
        <f>E20-G20</f>
        <v>17707.260000000126</v>
      </c>
      <c r="J21" s="125"/>
    </row>
    <row r="22" spans="1:10" s="126" customFormat="1" ht="18" x14ac:dyDescent="0.25">
      <c r="A22" s="122" t="s">
        <v>74</v>
      </c>
      <c r="B22" s="123"/>
      <c r="C22" s="123"/>
      <c r="D22" s="123"/>
      <c r="E22" s="123"/>
      <c r="F22" s="123"/>
      <c r="G22" s="123"/>
      <c r="H22" s="123"/>
      <c r="I22" s="127">
        <f>F20-H20</f>
        <v>13927.709999999963</v>
      </c>
      <c r="J22" s="128"/>
    </row>
    <row r="23" spans="1:10" s="126" customFormat="1" ht="18" x14ac:dyDescent="0.25">
      <c r="A23" s="122" t="s">
        <v>75</v>
      </c>
      <c r="B23" s="123"/>
      <c r="C23" s="123"/>
      <c r="D23" s="123"/>
      <c r="E23" s="123"/>
      <c r="F23" s="123"/>
      <c r="G23" s="123"/>
      <c r="H23" s="123"/>
      <c r="I23" s="127">
        <f>I1+I2+I21+I22</f>
        <v>242272.60000000044</v>
      </c>
      <c r="J23" s="128"/>
    </row>
    <row r="24" spans="1:10" ht="18" x14ac:dyDescent="0.25">
      <c r="A24" s="129" t="s">
        <v>76</v>
      </c>
      <c r="B24" s="130"/>
      <c r="C24" s="130"/>
      <c r="D24" s="130"/>
      <c r="E24" s="130"/>
      <c r="F24" s="130"/>
      <c r="G24" s="130"/>
      <c r="H24" s="130"/>
      <c r="I24" s="131">
        <f>I20+I3</f>
        <v>-32823.151315000083</v>
      </c>
      <c r="J24" s="132"/>
    </row>
    <row r="25" spans="1:10" s="126" customFormat="1" ht="18" x14ac:dyDescent="0.25">
      <c r="A25" s="133" t="s">
        <v>77</v>
      </c>
      <c r="B25" s="134"/>
      <c r="C25" s="135"/>
      <c r="D25" s="135"/>
      <c r="E25" s="135"/>
      <c r="F25" s="135"/>
      <c r="G25" s="135"/>
      <c r="H25" s="135"/>
      <c r="I25" s="136">
        <f>669*4</f>
        <v>2676</v>
      </c>
      <c r="J25" s="137"/>
    </row>
    <row r="26" spans="1:10" s="126" customFormat="1" ht="18" x14ac:dyDescent="0.25">
      <c r="A26" s="138" t="s">
        <v>78</v>
      </c>
      <c r="B26" s="123"/>
      <c r="C26" s="130"/>
      <c r="D26" s="130"/>
      <c r="E26" s="130"/>
      <c r="F26" s="130"/>
      <c r="G26" s="130"/>
      <c r="H26" s="130"/>
      <c r="I26" s="139">
        <f>504*4</f>
        <v>2016</v>
      </c>
      <c r="J26" s="137"/>
    </row>
    <row r="27" spans="1:10" s="126" customFormat="1" ht="18" x14ac:dyDescent="0.25">
      <c r="A27" s="138" t="s">
        <v>79</v>
      </c>
      <c r="B27" s="123"/>
      <c r="C27" s="130"/>
      <c r="D27" s="130"/>
      <c r="E27" s="130"/>
      <c r="F27" s="130"/>
      <c r="G27" s="130"/>
      <c r="H27" s="130"/>
      <c r="I27" s="139">
        <v>1200</v>
      </c>
      <c r="J27" s="137"/>
    </row>
    <row r="28" spans="1:10" ht="18" x14ac:dyDescent="0.25">
      <c r="A28" s="129" t="s">
        <v>80</v>
      </c>
      <c r="B28" s="130"/>
      <c r="C28" s="130"/>
      <c r="D28" s="130"/>
      <c r="E28" s="130"/>
      <c r="F28" s="140"/>
      <c r="G28" s="140"/>
      <c r="H28" s="140"/>
      <c r="I28" s="141">
        <f>I24-I25-I26-I27</f>
        <v>-38715.151315000083</v>
      </c>
      <c r="J28" s="142"/>
    </row>
    <row r="29" spans="1:10" ht="18" x14ac:dyDescent="0.25">
      <c r="A29" s="122" t="s">
        <v>81</v>
      </c>
      <c r="B29" s="143"/>
      <c r="C29" s="143"/>
      <c r="D29" s="143"/>
      <c r="E29" s="143"/>
      <c r="F29" s="144"/>
      <c r="G29" s="144"/>
      <c r="H29" s="144"/>
      <c r="I29" s="139">
        <f>I23+I28</f>
        <v>203557.44868500036</v>
      </c>
      <c r="J29" s="145"/>
    </row>
    <row r="30" spans="1:10" ht="15" x14ac:dyDescent="0.2">
      <c r="A30" s="146" t="s">
        <v>82</v>
      </c>
      <c r="I30" s="145" t="s">
        <v>83</v>
      </c>
      <c r="J30" s="145"/>
    </row>
  </sheetData>
  <pageMargins left="0.1451388888888889" right="0.21111111111111111" top="0.17812500000000001" bottom="9.8958333333333329E-3" header="0.5" footer="0.3"/>
  <pageSetup paperSize="9" scale="9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view="pageLayout" zoomScaleNormal="100" workbookViewId="0">
      <selection activeCell="H14" sqref="H14"/>
    </sheetView>
  </sheetViews>
  <sheetFormatPr defaultRowHeight="12.75" x14ac:dyDescent="0.2"/>
  <cols>
    <col min="1" max="1" width="6.42578125" customWidth="1"/>
    <col min="2" max="2" width="45.7109375" customWidth="1"/>
    <col min="3" max="3" width="12.85546875" customWidth="1"/>
    <col min="4" max="4" width="11.28515625" customWidth="1"/>
    <col min="5" max="5" width="12.42578125" customWidth="1"/>
    <col min="6" max="6" width="13" customWidth="1"/>
  </cols>
  <sheetData>
    <row r="2" spans="1:6" ht="15.75" x14ac:dyDescent="0.25">
      <c r="B2" s="82" t="s">
        <v>0</v>
      </c>
      <c r="C2" s="2"/>
      <c r="D2" s="2"/>
      <c r="E2" s="2"/>
      <c r="F2" s="2"/>
    </row>
    <row r="3" spans="1:6" ht="15.75" x14ac:dyDescent="0.25">
      <c r="B3" s="3" t="s">
        <v>1</v>
      </c>
      <c r="C3" s="2"/>
      <c r="D3" s="2"/>
      <c r="E3" s="2"/>
      <c r="F3" s="2"/>
    </row>
    <row r="4" spans="1:6" ht="16.5" thickBot="1" x14ac:dyDescent="0.3">
      <c r="B4" s="1" t="s">
        <v>2</v>
      </c>
      <c r="C4" s="4"/>
      <c r="D4" s="2"/>
      <c r="E4" s="2"/>
      <c r="F4" s="2">
        <v>2729.5</v>
      </c>
    </row>
    <row r="5" spans="1:6" ht="39" thickBot="1" x14ac:dyDescent="0.25">
      <c r="A5" s="5" t="s">
        <v>3</v>
      </c>
      <c r="B5" s="6" t="s">
        <v>4</v>
      </c>
      <c r="C5" s="7" t="s">
        <v>5</v>
      </c>
      <c r="D5" s="8" t="s">
        <v>6</v>
      </c>
      <c r="E5" s="9"/>
      <c r="F5" s="10" t="s">
        <v>7</v>
      </c>
    </row>
    <row r="6" spans="1:6" ht="13.5" thickBot="1" x14ac:dyDescent="0.25">
      <c r="A6" s="11"/>
      <c r="B6" s="185" t="s">
        <v>8</v>
      </c>
      <c r="C6" s="186"/>
      <c r="D6" s="186"/>
      <c r="E6" s="186"/>
      <c r="F6" s="195"/>
    </row>
    <row r="7" spans="1:6" ht="38.25" x14ac:dyDescent="0.2">
      <c r="A7" s="77">
        <v>1</v>
      </c>
      <c r="B7" s="13" t="s">
        <v>9</v>
      </c>
      <c r="C7" s="14">
        <v>13000</v>
      </c>
      <c r="D7" s="15" t="s">
        <v>10</v>
      </c>
      <c r="E7" s="16"/>
      <c r="F7" s="17">
        <f t="shared" ref="F7:F13" si="0">C7/2729.5/12</f>
        <v>0.39689808878304939</v>
      </c>
    </row>
    <row r="8" spans="1:6" ht="25.5" x14ac:dyDescent="0.2">
      <c r="A8" s="77">
        <v>2</v>
      </c>
      <c r="B8" s="18" t="s">
        <v>11</v>
      </c>
      <c r="C8" s="19">
        <v>2000</v>
      </c>
      <c r="D8" s="20" t="s">
        <v>10</v>
      </c>
      <c r="E8" s="21"/>
      <c r="F8" s="22">
        <f t="shared" si="0"/>
        <v>6.1061244428161444E-2</v>
      </c>
    </row>
    <row r="9" spans="1:6" x14ac:dyDescent="0.2">
      <c r="A9" s="77">
        <v>3</v>
      </c>
      <c r="B9" s="23" t="s">
        <v>12</v>
      </c>
      <c r="C9" s="19">
        <v>2000</v>
      </c>
      <c r="D9" s="20" t="s">
        <v>10</v>
      </c>
      <c r="E9" s="21"/>
      <c r="F9" s="22">
        <f t="shared" si="0"/>
        <v>6.1061244428161444E-2</v>
      </c>
    </row>
    <row r="10" spans="1:6" x14ac:dyDescent="0.2">
      <c r="A10" s="77">
        <v>4</v>
      </c>
      <c r="B10" s="13" t="s">
        <v>13</v>
      </c>
      <c r="C10" s="19">
        <v>3000</v>
      </c>
      <c r="D10" s="20" t="s">
        <v>10</v>
      </c>
      <c r="E10" s="21"/>
      <c r="F10" s="22">
        <f t="shared" si="0"/>
        <v>9.159186664224217E-2</v>
      </c>
    </row>
    <row r="11" spans="1:6" ht="14.25" x14ac:dyDescent="0.2">
      <c r="A11" s="77">
        <v>5</v>
      </c>
      <c r="B11" s="24" t="s">
        <v>14</v>
      </c>
      <c r="C11" s="25">
        <f>50000+12000</f>
        <v>62000</v>
      </c>
      <c r="D11" s="26" t="s">
        <v>15</v>
      </c>
      <c r="E11" s="21"/>
      <c r="F11" s="22">
        <f t="shared" si="0"/>
        <v>1.8928985772730049</v>
      </c>
    </row>
    <row r="12" spans="1:6" ht="28.5" x14ac:dyDescent="0.2">
      <c r="A12" s="77">
        <v>6</v>
      </c>
      <c r="B12" s="24" t="s">
        <v>16</v>
      </c>
      <c r="C12" s="27">
        <v>60000</v>
      </c>
      <c r="D12" s="26" t="s">
        <v>15</v>
      </c>
      <c r="E12" s="28"/>
      <c r="F12" s="29">
        <f t="shared" si="0"/>
        <v>1.8318373328448434</v>
      </c>
    </row>
    <row r="13" spans="1:6" ht="13.5" thickBot="1" x14ac:dyDescent="0.25">
      <c r="A13" s="77"/>
      <c r="B13" s="30" t="s">
        <v>17</v>
      </c>
      <c r="C13" s="31">
        <f>SUM(C7:C12)</f>
        <v>142000</v>
      </c>
      <c r="D13" s="32"/>
      <c r="E13" s="33"/>
      <c r="F13" s="34">
        <f t="shared" si="0"/>
        <v>4.3353483543994624</v>
      </c>
    </row>
    <row r="14" spans="1:6" ht="13.5" thickBot="1" x14ac:dyDescent="0.25">
      <c r="A14" s="184"/>
      <c r="B14" s="185" t="s">
        <v>18</v>
      </c>
      <c r="C14" s="186"/>
      <c r="D14" s="186"/>
      <c r="E14" s="186"/>
      <c r="F14" s="195"/>
    </row>
    <row r="15" spans="1:6" ht="14.25" x14ac:dyDescent="0.2">
      <c r="A15" s="77">
        <v>7</v>
      </c>
      <c r="B15" s="35" t="s">
        <v>19</v>
      </c>
      <c r="C15" s="36">
        <v>12000</v>
      </c>
      <c r="D15" s="37" t="s">
        <v>15</v>
      </c>
      <c r="E15" s="38"/>
      <c r="F15" s="39">
        <f>C15/2729.5/12</f>
        <v>0.36636746656896868</v>
      </c>
    </row>
    <row r="16" spans="1:6" x14ac:dyDescent="0.2">
      <c r="A16" s="77">
        <v>8</v>
      </c>
      <c r="B16" s="40" t="s">
        <v>20</v>
      </c>
      <c r="C16" s="41">
        <v>500</v>
      </c>
      <c r="D16" s="20" t="s">
        <v>10</v>
      </c>
      <c r="E16" s="21"/>
      <c r="F16" s="22">
        <f>C16/2729.5/12</f>
        <v>1.5265311107040361E-2</v>
      </c>
    </row>
    <row r="17" spans="1:9" x14ac:dyDescent="0.2">
      <c r="A17" s="77">
        <v>9</v>
      </c>
      <c r="B17" s="42" t="s">
        <v>21</v>
      </c>
      <c r="C17" s="43">
        <v>3700</v>
      </c>
      <c r="D17" s="20" t="s">
        <v>10</v>
      </c>
      <c r="E17" s="21"/>
      <c r="F17" s="22">
        <f>C17/2729.5/12</f>
        <v>0.11296330219209867</v>
      </c>
    </row>
    <row r="18" spans="1:9" x14ac:dyDescent="0.2">
      <c r="A18" s="77"/>
      <c r="B18" s="44" t="s">
        <v>17</v>
      </c>
      <c r="C18" s="45">
        <f>SUM(C15:C17)</f>
        <v>16200</v>
      </c>
      <c r="D18" s="46"/>
      <c r="E18" s="47"/>
      <c r="F18" s="22">
        <f>C18/2729.5/12</f>
        <v>0.49459607986810772</v>
      </c>
    </row>
    <row r="19" spans="1:9" x14ac:dyDescent="0.2">
      <c r="A19" s="77"/>
      <c r="B19" s="196" t="s">
        <v>22</v>
      </c>
      <c r="C19" s="197"/>
      <c r="D19" s="197"/>
      <c r="E19" s="197"/>
      <c r="F19" s="198"/>
    </row>
    <row r="20" spans="1:9" ht="28.5" x14ac:dyDescent="0.2">
      <c r="A20" s="77">
        <v>10</v>
      </c>
      <c r="B20" s="48" t="s">
        <v>23</v>
      </c>
      <c r="C20" s="49">
        <v>10000</v>
      </c>
      <c r="D20" s="50" t="s">
        <v>15</v>
      </c>
      <c r="E20" s="51"/>
      <c r="F20" s="52">
        <f>C20/2729.5/12</f>
        <v>0.30530622214080722</v>
      </c>
    </row>
    <row r="21" spans="1:9" x14ac:dyDescent="0.2">
      <c r="A21" s="77">
        <v>11</v>
      </c>
      <c r="B21" s="53" t="s">
        <v>24</v>
      </c>
      <c r="C21" s="41">
        <f>80*50</f>
        <v>4000</v>
      </c>
      <c r="D21" s="20" t="s">
        <v>10</v>
      </c>
      <c r="E21" s="21"/>
      <c r="F21" s="22">
        <f>C21/2729.5/12</f>
        <v>0.12212248885632289</v>
      </c>
    </row>
    <row r="22" spans="1:9" x14ac:dyDescent="0.2">
      <c r="A22" s="77">
        <v>12</v>
      </c>
      <c r="B22" s="53" t="s">
        <v>25</v>
      </c>
      <c r="C22" s="41">
        <f>10000</f>
        <v>10000</v>
      </c>
      <c r="D22" s="20"/>
      <c r="E22" s="21"/>
      <c r="F22" s="22"/>
    </row>
    <row r="23" spans="1:9" x14ac:dyDescent="0.2">
      <c r="A23" s="77"/>
      <c r="B23" s="44" t="s">
        <v>17</v>
      </c>
      <c r="C23" s="45">
        <f>SUM(C20:C22)</f>
        <v>24000</v>
      </c>
      <c r="D23" s="46"/>
      <c r="E23" s="47"/>
      <c r="F23" s="22">
        <f>C23/2729.5/12</f>
        <v>0.73273493313793736</v>
      </c>
    </row>
    <row r="24" spans="1:9" x14ac:dyDescent="0.2">
      <c r="A24" s="77"/>
      <c r="B24" s="189" t="s">
        <v>26</v>
      </c>
      <c r="C24" s="190"/>
      <c r="D24" s="190"/>
      <c r="E24" s="190"/>
      <c r="F24" s="193"/>
    </row>
    <row r="25" spans="1:9" x14ac:dyDescent="0.2">
      <c r="A25" s="77">
        <v>13</v>
      </c>
      <c r="B25" s="54" t="s">
        <v>27</v>
      </c>
      <c r="C25" s="55">
        <f>1500*12+600+5940</f>
        <v>24540</v>
      </c>
      <c r="D25" s="20" t="s">
        <v>10</v>
      </c>
      <c r="E25" s="21"/>
      <c r="F25" s="22">
        <f>C25/2729.5/12</f>
        <v>0.74922146913354093</v>
      </c>
    </row>
    <row r="26" spans="1:9" x14ac:dyDescent="0.2">
      <c r="A26" s="77">
        <v>14</v>
      </c>
      <c r="B26" s="40" t="s">
        <v>28</v>
      </c>
      <c r="C26" s="41">
        <f>500</f>
        <v>500</v>
      </c>
      <c r="D26" s="20" t="s">
        <v>10</v>
      </c>
      <c r="E26" s="21"/>
      <c r="F26" s="22">
        <f>C26/2729.5/12</f>
        <v>1.5265311107040361E-2</v>
      </c>
    </row>
    <row r="27" spans="1:9" x14ac:dyDescent="0.2">
      <c r="A27" s="77">
        <v>15</v>
      </c>
      <c r="B27" s="53" t="s">
        <v>29</v>
      </c>
      <c r="C27" s="41">
        <f>800*1.33*12+50</f>
        <v>12818</v>
      </c>
      <c r="D27" s="20" t="s">
        <v>10</v>
      </c>
      <c r="E27" s="21"/>
      <c r="F27" s="22">
        <f>C27/2729.5/12</f>
        <v>0.39134151554008673</v>
      </c>
    </row>
    <row r="28" spans="1:9" ht="13.5" thickBot="1" x14ac:dyDescent="0.25">
      <c r="A28" s="77"/>
      <c r="B28" s="30" t="s">
        <v>17</v>
      </c>
      <c r="C28" s="31">
        <f>SUM(C25:C27)</f>
        <v>37858</v>
      </c>
      <c r="D28" s="32"/>
      <c r="E28" s="33"/>
      <c r="F28" s="34">
        <f>C28/2729.5/12</f>
        <v>1.155828295780668</v>
      </c>
      <c r="I28" s="83"/>
    </row>
    <row r="29" spans="1:9" ht="13.5" thickBot="1" x14ac:dyDescent="0.25">
      <c r="A29" s="80"/>
      <c r="B29" s="191" t="s">
        <v>30</v>
      </c>
      <c r="C29" s="192"/>
      <c r="D29" s="192"/>
      <c r="E29" s="192"/>
      <c r="F29" s="194"/>
    </row>
    <row r="30" spans="1:9" x14ac:dyDescent="0.2">
      <c r="A30" s="81">
        <v>16</v>
      </c>
      <c r="B30" s="56" t="s">
        <v>31</v>
      </c>
      <c r="C30" s="75">
        <v>3600</v>
      </c>
      <c r="D30" s="20" t="s">
        <v>10</v>
      </c>
      <c r="E30" s="20"/>
      <c r="F30" s="57">
        <f>C30/2729.5/12</f>
        <v>0.1099102399706906</v>
      </c>
    </row>
    <row r="31" spans="1:9" x14ac:dyDescent="0.2">
      <c r="A31" s="81">
        <v>17</v>
      </c>
      <c r="B31" s="56" t="s">
        <v>32</v>
      </c>
      <c r="C31" s="58">
        <v>13000</v>
      </c>
      <c r="D31" s="20" t="s">
        <v>10</v>
      </c>
      <c r="E31" s="20"/>
      <c r="F31" s="57"/>
    </row>
    <row r="32" spans="1:9" x14ac:dyDescent="0.2">
      <c r="A32" s="81">
        <v>18</v>
      </c>
      <c r="B32" s="54" t="s">
        <v>33</v>
      </c>
      <c r="C32" s="59">
        <f>1.65*2729.5*12</f>
        <v>54044.100000000006</v>
      </c>
      <c r="D32" s="20" t="s">
        <v>10</v>
      </c>
      <c r="E32" s="20"/>
      <c r="F32" s="57">
        <f t="shared" ref="F32:F38" si="1">C32/2729.5/12</f>
        <v>1.6500000000000001</v>
      </c>
    </row>
    <row r="33" spans="1:9" x14ac:dyDescent="0.2">
      <c r="A33" s="77">
        <v>19</v>
      </c>
      <c r="B33" s="60" t="s">
        <v>34</v>
      </c>
      <c r="C33" s="61">
        <f>12*2000</f>
        <v>24000</v>
      </c>
      <c r="D33" s="20" t="s">
        <v>10</v>
      </c>
      <c r="E33" s="21"/>
      <c r="F33" s="22">
        <f t="shared" si="1"/>
        <v>0.73273493313793736</v>
      </c>
    </row>
    <row r="34" spans="1:9" x14ac:dyDescent="0.2">
      <c r="A34" s="77">
        <v>20</v>
      </c>
      <c r="B34" s="60" t="s">
        <v>35</v>
      </c>
      <c r="C34" s="61">
        <f>12*300</f>
        <v>3600</v>
      </c>
      <c r="D34" s="20" t="s">
        <v>10</v>
      </c>
      <c r="E34" s="21"/>
      <c r="F34" s="22">
        <f t="shared" si="1"/>
        <v>0.1099102399706906</v>
      </c>
    </row>
    <row r="35" spans="1:9" x14ac:dyDescent="0.2">
      <c r="A35" s="77">
        <v>21</v>
      </c>
      <c r="B35" s="60" t="s">
        <v>36</v>
      </c>
      <c r="C35" s="61">
        <f>0.98*12*2729.5</f>
        <v>32098.92</v>
      </c>
      <c r="D35" s="20" t="s">
        <v>10</v>
      </c>
      <c r="E35" s="21"/>
      <c r="F35" s="22">
        <f t="shared" si="1"/>
        <v>0.98</v>
      </c>
    </row>
    <row r="36" spans="1:9" x14ac:dyDescent="0.2">
      <c r="A36" s="12">
        <v>22</v>
      </c>
      <c r="B36" s="62" t="s">
        <v>37</v>
      </c>
      <c r="C36" s="41">
        <f>12*12*54</f>
        <v>7776</v>
      </c>
      <c r="D36" s="20" t="s">
        <v>10</v>
      </c>
      <c r="E36" s="21"/>
      <c r="F36" s="22">
        <f t="shared" si="1"/>
        <v>0.2374061183366917</v>
      </c>
    </row>
    <row r="37" spans="1:9" x14ac:dyDescent="0.2">
      <c r="A37" s="12">
        <v>23</v>
      </c>
      <c r="B37" s="62" t="s">
        <v>38</v>
      </c>
      <c r="C37" s="63">
        <f>7.9*52*12</f>
        <v>4929.6000000000004</v>
      </c>
      <c r="D37" s="20" t="s">
        <v>10</v>
      </c>
      <c r="E37" s="21"/>
      <c r="F37" s="22">
        <f t="shared" si="1"/>
        <v>0.15050375526653234</v>
      </c>
    </row>
    <row r="38" spans="1:9" x14ac:dyDescent="0.2">
      <c r="A38" s="12">
        <v>24</v>
      </c>
      <c r="B38" s="23" t="s">
        <v>39</v>
      </c>
      <c r="C38" s="41">
        <v>30000</v>
      </c>
      <c r="D38" s="20" t="s">
        <v>10</v>
      </c>
      <c r="E38" s="21"/>
      <c r="F38" s="22">
        <f t="shared" si="1"/>
        <v>0.9159186664224217</v>
      </c>
    </row>
    <row r="39" spans="1:9" ht="25.5" x14ac:dyDescent="0.2">
      <c r="A39" s="64">
        <v>25</v>
      </c>
      <c r="B39" s="65" t="s">
        <v>40</v>
      </c>
      <c r="C39" s="66">
        <f>'[5]отчет 2013'!I221</f>
        <v>0</v>
      </c>
      <c r="D39" s="67"/>
      <c r="E39" s="68"/>
      <c r="F39" s="34"/>
    </row>
    <row r="40" spans="1:9" ht="13.5" thickBot="1" x14ac:dyDescent="0.25">
      <c r="A40" s="64"/>
      <c r="B40" s="30" t="s">
        <v>17</v>
      </c>
      <c r="C40" s="31">
        <f>SUM(C30:C39)</f>
        <v>173048.62000000002</v>
      </c>
      <c r="D40" s="32"/>
      <c r="E40" s="33"/>
      <c r="F40" s="34">
        <f>C40/2729.5/12</f>
        <v>5.2832820418880146</v>
      </c>
      <c r="I40" s="83"/>
    </row>
    <row r="41" spans="1:9" ht="16.5" thickBot="1" x14ac:dyDescent="0.25">
      <c r="A41" s="69"/>
      <c r="B41" s="70" t="s">
        <v>41</v>
      </c>
      <c r="C41" s="71">
        <f>C13+C18+C23+C28+C40</f>
        <v>393106.62</v>
      </c>
      <c r="D41" s="84">
        <f>C41/12</f>
        <v>32758.884999999998</v>
      </c>
      <c r="E41" s="72"/>
      <c r="F41" s="73">
        <f>C41/2729.5/12</f>
        <v>12.00178970507419</v>
      </c>
    </row>
  </sheetData>
  <mergeCells count="5">
    <mergeCell ref="B24:F24"/>
    <mergeCell ref="B29:F29"/>
    <mergeCell ref="B6:F6"/>
    <mergeCell ref="B14:F14"/>
    <mergeCell ref="B19:F19"/>
  </mergeCells>
  <pageMargins left="0.125" right="0.21875" top="9.375E-2" bottom="0.15625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 2013</vt:lpstr>
      <vt:lpstr>отчет 2013</vt:lpstr>
      <vt:lpstr>на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2014-06-02T07:40:07Z</cp:lastPrinted>
  <dcterms:created xsi:type="dcterms:W3CDTF">2014-05-21T05:20:51Z</dcterms:created>
  <dcterms:modified xsi:type="dcterms:W3CDTF">2014-06-03T06:50:59Z</dcterms:modified>
</cp:coreProperties>
</file>